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g8m6v\Downloads\"/>
    </mc:Choice>
  </mc:AlternateContent>
  <xr:revisionPtr revIDLastSave="0" documentId="13_ncr:1_{DAE1B101-AC84-4553-9FAB-A3AA237DADD7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NCL30076 Design Tool" sheetId="1" r:id="rId1"/>
  </sheets>
  <definedNames>
    <definedName name="Ae">'NCL30076 Design Tool'!$I$9</definedName>
    <definedName name="Bmax">'NCL30076 Design Tool'!$S$7</definedName>
    <definedName name="Checkup">'NCL30076 Design Tool'!#REF!</definedName>
    <definedName name="Dmax">'NCL30076 Design Tool'!$I$10</definedName>
    <definedName name="Failmode">'NCL30076 Design Tool'!$I$21</definedName>
    <definedName name="fsw.Vo.max">'NCL30076 Design Tool'!$I$11</definedName>
    <definedName name="G.BST">'NCL30076 Design Tool'!$D$3</definedName>
    <definedName name="Ics.lim.min">'NCL30076 Design Tool'!$D$21</definedName>
    <definedName name="Ics.res">'NCL30076 Design Tool'!#REF!</definedName>
    <definedName name="ILbuck.pk">'NCL30076 Design Tool'!$I$12</definedName>
    <definedName name="Io.max">'NCL30076 Design Tool'!$D$18</definedName>
    <definedName name="Io.min.Vo.max">'NCL30076 Design Tool'!$D$19</definedName>
    <definedName name="Io.min.Vo.min">'NCL30076 Design Tool'!$D$20</definedName>
    <definedName name="Lbuck">'NCL30076 Design Tool'!$I$8</definedName>
    <definedName name="Lbuck.max.limit">'NCL30076 Design Tool'!$I$7</definedName>
    <definedName name="Lbuck.min.limit">'NCL30076 Design Tool'!$I$6</definedName>
    <definedName name="N.Toff">'NCL30076 Design Tool'!$D$12</definedName>
    <definedName name="Rcs">'NCL30076 Design Tool'!$N$13</definedName>
    <definedName name="Rff">'NCL30076 Design Tool'!$I$15</definedName>
    <definedName name="Rout">'NCL30076 Design Tool'!$N$18</definedName>
    <definedName name="Rvled.drop">'NCL30076 Design Tool'!$D$26</definedName>
    <definedName name="Rzcd1">'NCL30076 Design Tool'!$N$16</definedName>
    <definedName name="Rzcd1.bo">'NCL30076 Design Tool'!$I$16</definedName>
    <definedName name="Rzcd1.max">'NCL30076 Design Tool'!$I$20</definedName>
    <definedName name="Rzcd1.max.Vin">'NCL30076 Design Tool'!$I$18</definedName>
    <definedName name="Rzcd1.max.Vo">'NCL30076 Design Tool'!$I$19</definedName>
    <definedName name="Rzcd1.min.Vin">'NCL30076 Design Tool'!$I$17</definedName>
    <definedName name="Rzcd2">'NCL30076 Design Tool'!$N$17</definedName>
    <definedName name="T.toff">'NCL30076 Design Tool'!$D$13</definedName>
    <definedName name="T_qr">'NCL30076 Design Tool'!$D$15</definedName>
    <definedName name="Toff.max">'NCL30076 Design Tool'!$D$14</definedName>
    <definedName name="Toff.min.lim">'NCL30076 Design Tool'!$I$4</definedName>
    <definedName name="Ton.max">'NCL30076 Design Tool'!$D$16</definedName>
    <definedName name="Ton.min.lim">'NCL30076 Design Tool'!$I$3</definedName>
    <definedName name="Tpd">'NCL30076 Design Tool'!$I$14</definedName>
    <definedName name="Vb.bo">'NCL30076 Design Tool'!$D$9</definedName>
    <definedName name="Vb.cs.lim.max">'NCL30076 Design Tool'!$D$7</definedName>
    <definedName name="Vb.cs.lim.max.pk">'NCL30076 Design Tool'!$D$8</definedName>
    <definedName name="Vb.cs.lim.min">'NCL30076 Design Tool'!$D$6</definedName>
    <definedName name="Vb.cs.rip">'NCL30076 Design Tool'!$D$11</definedName>
    <definedName name="Vbst.off">'NCL30076 Design Tool'!$D$4</definedName>
    <definedName name="Vbst.res">'NCL30076 Design Tool'!$I$5</definedName>
    <definedName name="Vcs.ocp">'NCL30076 Design Tool'!$D$10</definedName>
    <definedName name="Vfb.bound">'NCL30076 Design Tool'!#REF!</definedName>
    <definedName name="Vin">'NCL30076 Design Tool'!$D$22</definedName>
    <definedName name="Vin.bo">'NCL30076 Design Tool'!$D$25</definedName>
    <definedName name="Vin.freq">'NCL30076 Design Tool'!$Z$3</definedName>
    <definedName name="Vin.max">'NCL30076 Design Tool'!$N$3</definedName>
    <definedName name="Vin.min">'NCL30076 Design Tool'!$N$4</definedName>
    <definedName name="Vo.max">'NCL30076 Design Tool'!$N$5</definedName>
    <definedName name="Vo.max.min">'NCL30076 Design Tool'!$D$23</definedName>
    <definedName name="Vo.min">'NCL30076 Design Tool'!$N$6</definedName>
    <definedName name="Vo.min.min">'NCL30076 Design Tool'!$D$24</definedName>
    <definedName name="Vref.max">'NCL30076 Design Tool'!$D$5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4" i="1"/>
  <c r="D16" i="1"/>
  <c r="I19" i="1" l="1"/>
  <c r="I18" i="1"/>
  <c r="I17" i="1"/>
  <c r="I20" i="1" l="1"/>
  <c r="I21" i="1" s="1"/>
  <c r="D15" i="1"/>
  <c r="S16" i="1" l="1"/>
  <c r="S13" i="1"/>
  <c r="D22" i="1"/>
  <c r="I4" i="1"/>
  <c r="V6" i="1" l="1"/>
  <c r="D7" i="1"/>
  <c r="I14" i="1" l="1"/>
  <c r="V7" i="1" l="1"/>
  <c r="I3" i="1"/>
  <c r="V8" i="1" l="1"/>
  <c r="V9" i="1" s="1"/>
  <c r="D25" i="1"/>
  <c r="I16" i="1" l="1"/>
  <c r="N16" i="1" s="1"/>
  <c r="V10" i="1"/>
  <c r="V11" i="1" l="1"/>
  <c r="V12" i="1" l="1"/>
  <c r="V13" i="1" l="1"/>
  <c r="V14" i="1" l="1"/>
  <c r="I10" i="1"/>
  <c r="V15" i="1" l="1"/>
  <c r="I9" i="1"/>
  <c r="I8" i="1"/>
  <c r="D24" i="1"/>
  <c r="D23" i="1"/>
  <c r="D18" i="1"/>
  <c r="S18" i="1" s="1"/>
  <c r="V16" i="1" l="1"/>
  <c r="N13" i="1"/>
  <c r="N18" i="1"/>
  <c r="N10" i="1"/>
  <c r="I7" i="1" l="1"/>
  <c r="S4" i="1" s="1"/>
  <c r="W8" i="1"/>
  <c r="W14" i="1"/>
  <c r="W9" i="1"/>
  <c r="W12" i="1"/>
  <c r="W6" i="1"/>
  <c r="W15" i="1"/>
  <c r="W13" i="1"/>
  <c r="W11" i="1"/>
  <c r="W10" i="1"/>
  <c r="W16" i="1"/>
  <c r="W7" i="1"/>
  <c r="I6" i="1"/>
  <c r="S3" i="1" s="1"/>
  <c r="X16" i="1"/>
  <c r="Y16" i="1" s="1"/>
  <c r="Z16" i="1" s="1"/>
  <c r="X14" i="1"/>
  <c r="Y14" i="1" s="1"/>
  <c r="Z14" i="1" s="1"/>
  <c r="X10" i="1"/>
  <c r="Y10" i="1" s="1"/>
  <c r="Z10" i="1" s="1"/>
  <c r="X8" i="1"/>
  <c r="Y8" i="1" s="1"/>
  <c r="Z8" i="1" s="1"/>
  <c r="X13" i="1"/>
  <c r="Y13" i="1" s="1"/>
  <c r="Z13" i="1" s="1"/>
  <c r="X7" i="1"/>
  <c r="Y7" i="1" s="1"/>
  <c r="Z7" i="1" s="1"/>
  <c r="X11" i="1"/>
  <c r="Y11" i="1" s="1"/>
  <c r="Z11" i="1" s="1"/>
  <c r="X6" i="1"/>
  <c r="Y6" i="1" s="1"/>
  <c r="Z6" i="1" s="1"/>
  <c r="X12" i="1"/>
  <c r="Y12" i="1" s="1"/>
  <c r="Z12" i="1" s="1"/>
  <c r="X9" i="1"/>
  <c r="Y9" i="1" s="1"/>
  <c r="Z9" i="1" s="1"/>
  <c r="X15" i="1"/>
  <c r="Y15" i="1" s="1"/>
  <c r="Z15" i="1" s="1"/>
  <c r="I12" i="1"/>
  <c r="S8" i="1" s="1"/>
  <c r="I11" i="1"/>
  <c r="I15" i="1"/>
  <c r="N19" i="1" s="1"/>
  <c r="D21" i="1"/>
  <c r="N8" i="1" s="1"/>
  <c r="S14" i="1"/>
  <c r="S17" i="1"/>
  <c r="N9" i="1" l="1"/>
  <c r="S9" i="1"/>
  <c r="S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 Eum</author>
  </authors>
  <commentList>
    <comment ref="Q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LBUCK (selected) should be higher than LBUCK.MIN.</t>
        </r>
      </text>
    </comment>
    <comment ref="L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 RZCD1 result is  "Fail.by.Vin",
  - Increase VIN.MIN spec or Decrease VIN.MAX spec
If RZCD1 result is "Fail.by.Vo",
  - Increase VLED.MIN spec or Decrease VIN.MAX spec</t>
        </r>
      </text>
    </comment>
    <comment ref="L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[Option]
If load CC in the whole dimming range should be further improved, this resistor is added and fine tuned to improve the load CC.</t>
        </r>
      </text>
    </comment>
  </commentList>
</comments>
</file>

<file path=xl/sharedStrings.xml><?xml version="1.0" encoding="utf-8"?>
<sst xmlns="http://schemas.openxmlformats.org/spreadsheetml/2006/main" count="157" uniqueCount="118">
  <si>
    <t>Input &amp; Output</t>
  </si>
  <si>
    <t>V</t>
    <phoneticPr fontId="1" type="noConversion"/>
  </si>
  <si>
    <r>
      <t>V</t>
    </r>
    <r>
      <rPr>
        <b/>
        <vertAlign val="subscript"/>
        <sz val="11"/>
        <color theme="1"/>
        <rFont val="Calibri"/>
        <family val="2"/>
        <scheme val="minor"/>
      </rPr>
      <t>LED.MAX</t>
    </r>
    <phoneticPr fontId="1" type="noConversion"/>
  </si>
  <si>
    <r>
      <t>V</t>
    </r>
    <r>
      <rPr>
        <b/>
        <vertAlign val="subscript"/>
        <sz val="11"/>
        <color theme="1"/>
        <rFont val="Calibri"/>
        <family val="2"/>
        <scheme val="minor"/>
      </rPr>
      <t>LED.MIN</t>
    </r>
    <phoneticPr fontId="1" type="noConversion"/>
  </si>
  <si>
    <r>
      <t>I</t>
    </r>
    <r>
      <rPr>
        <b/>
        <vertAlign val="subscript"/>
        <sz val="11"/>
        <color theme="1"/>
        <rFont val="Calibri"/>
        <family val="2"/>
        <scheme val="minor"/>
      </rPr>
      <t>LED.MAX</t>
    </r>
    <phoneticPr fontId="1" type="noConversion"/>
  </si>
  <si>
    <t>mA</t>
    <phoneticPr fontId="1" type="noConversion"/>
  </si>
  <si>
    <t>Input &amp; Output Spec</t>
    <phoneticPr fontId="1" type="noConversion"/>
  </si>
  <si>
    <t>ILED.MAX</t>
    <phoneticPr fontId="1" type="noConversion"/>
  </si>
  <si>
    <t>A</t>
    <phoneticPr fontId="1" type="noConversion"/>
  </si>
  <si>
    <t>W</t>
    <phoneticPr fontId="1" type="noConversion"/>
  </si>
  <si>
    <t>Inductor</t>
    <phoneticPr fontId="1" type="noConversion"/>
  </si>
  <si>
    <t>Hz</t>
    <phoneticPr fontId="1" type="noConversion"/>
  </si>
  <si>
    <t>sec</t>
    <phoneticPr fontId="1" type="noConversion"/>
  </si>
  <si>
    <t>IC Spec</t>
    <phoneticPr fontId="1" type="noConversion"/>
  </si>
  <si>
    <r>
      <t>R</t>
    </r>
    <r>
      <rPr>
        <b/>
        <vertAlign val="subscript"/>
        <sz val="11"/>
        <color theme="1"/>
        <rFont val="Calibri"/>
        <family val="2"/>
        <scheme val="minor"/>
      </rPr>
      <t>CS</t>
    </r>
    <phoneticPr fontId="1" type="noConversion"/>
  </si>
  <si>
    <t>ohm</t>
    <phoneticPr fontId="1" type="noConversion"/>
  </si>
  <si>
    <t>VREF.MAX</t>
    <phoneticPr fontId="1" type="noConversion"/>
  </si>
  <si>
    <t>VBST.CS.LIM.MIN</t>
    <phoneticPr fontId="1" type="noConversion"/>
  </si>
  <si>
    <t>BST Gain</t>
    <phoneticPr fontId="1" type="noConversion"/>
  </si>
  <si>
    <t>V/V</t>
    <phoneticPr fontId="1" type="noConversion"/>
  </si>
  <si>
    <t>VBST.CS.LIM.MAX</t>
    <phoneticPr fontId="1" type="noConversion"/>
  </si>
  <si>
    <t>%</t>
    <phoneticPr fontId="1" type="noConversion"/>
  </si>
  <si>
    <t>Vo.min.min</t>
    <phoneticPr fontId="1" type="noConversion"/>
  </si>
  <si>
    <t>Vo.max.min</t>
    <phoneticPr fontId="1" type="noConversion"/>
  </si>
  <si>
    <t>Control circuit</t>
    <phoneticPr fontId="1" type="noConversion"/>
  </si>
  <si>
    <t>fSW@VLED.MAX</t>
    <phoneticPr fontId="1" type="noConversion"/>
  </si>
  <si>
    <t>H</t>
    <phoneticPr fontId="1" type="noConversion"/>
  </si>
  <si>
    <t>mH</t>
    <phoneticPr fontId="1" type="noConversion"/>
  </si>
  <si>
    <r>
      <t>L</t>
    </r>
    <r>
      <rPr>
        <b/>
        <vertAlign val="subscript"/>
        <sz val="11"/>
        <color theme="1"/>
        <rFont val="Calibri"/>
        <family val="2"/>
        <scheme val="minor"/>
      </rPr>
      <t xml:space="preserve">BUCK </t>
    </r>
    <r>
      <rPr>
        <b/>
        <sz val="11"/>
        <color theme="1"/>
        <rFont val="Calibri"/>
        <family val="3"/>
        <charset val="129"/>
        <scheme val="minor"/>
      </rPr>
      <t>(selected)</t>
    </r>
    <phoneticPr fontId="1" type="noConversion"/>
  </si>
  <si>
    <t>Lbuck (selected)</t>
    <phoneticPr fontId="1" type="noConversion"/>
  </si>
  <si>
    <t>Ae</t>
    <phoneticPr fontId="1" type="noConversion"/>
  </si>
  <si>
    <r>
      <t>mm</t>
    </r>
    <r>
      <rPr>
        <b/>
        <vertAlign val="superscript"/>
        <sz val="11"/>
        <color theme="1"/>
        <rFont val="Calibri"/>
        <family val="3"/>
        <charset val="129"/>
        <scheme val="minor"/>
      </rPr>
      <t>2</t>
    </r>
    <phoneticPr fontId="1" type="noConversion"/>
  </si>
  <si>
    <t>Bmax</t>
    <phoneticPr fontId="1" type="noConversion"/>
  </si>
  <si>
    <t>T</t>
    <phoneticPr fontId="1" type="noConversion"/>
  </si>
  <si>
    <t>m2</t>
    <phoneticPr fontId="1" type="noConversion"/>
  </si>
  <si>
    <t>VBST.CS.LIM.MAX.PK</t>
    <phoneticPr fontId="1" type="noConversion"/>
  </si>
  <si>
    <r>
      <t>Min. N</t>
    </r>
    <r>
      <rPr>
        <b/>
        <vertAlign val="subscript"/>
        <sz val="11"/>
        <color theme="1"/>
        <rFont val="Calibri"/>
        <family val="3"/>
        <charset val="129"/>
        <scheme val="minor"/>
      </rPr>
      <t>LBUCK</t>
    </r>
    <phoneticPr fontId="1" type="noConversion"/>
  </si>
  <si>
    <t>turns</t>
    <phoneticPr fontId="1" type="noConversion"/>
  </si>
  <si>
    <r>
      <t>C</t>
    </r>
    <r>
      <rPr>
        <b/>
        <vertAlign val="subscript"/>
        <sz val="11"/>
        <color theme="1"/>
        <rFont val="Calibri"/>
        <family val="2"/>
        <scheme val="minor"/>
      </rPr>
      <t>BAIS</t>
    </r>
    <phoneticPr fontId="1" type="noConversion"/>
  </si>
  <si>
    <t>nF</t>
    <phoneticPr fontId="1" type="noConversion"/>
  </si>
  <si>
    <r>
      <t>C</t>
    </r>
    <r>
      <rPr>
        <b/>
        <vertAlign val="subscript"/>
        <sz val="11"/>
        <color theme="1"/>
        <rFont val="Calibri"/>
        <family val="2"/>
        <scheme val="minor"/>
      </rPr>
      <t>FB</t>
    </r>
    <phoneticPr fontId="1" type="noConversion"/>
  </si>
  <si>
    <t>kohm</t>
    <phoneticPr fontId="1" type="noConversion"/>
  </si>
  <si>
    <r>
      <t>R</t>
    </r>
    <r>
      <rPr>
        <b/>
        <vertAlign val="subscript"/>
        <sz val="11"/>
        <color theme="1"/>
        <rFont val="Calibri"/>
        <family val="2"/>
        <scheme val="minor"/>
      </rPr>
      <t>ZCD2</t>
    </r>
    <phoneticPr fontId="1" type="noConversion"/>
  </si>
  <si>
    <t>VBST.BO</t>
    <phoneticPr fontId="1" type="noConversion"/>
  </si>
  <si>
    <t>V</t>
    <phoneticPr fontId="1" type="noConversion"/>
  </si>
  <si>
    <t>A</t>
    <phoneticPr fontId="1" type="noConversion"/>
  </si>
  <si>
    <t>VCS.OCP</t>
    <phoneticPr fontId="1" type="noConversion"/>
  </si>
  <si>
    <r>
      <t>Q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V</t>
    </r>
    <r>
      <rPr>
        <b/>
        <vertAlign val="subscript"/>
        <sz val="11"/>
        <color theme="1"/>
        <rFont val="Calibri"/>
        <family val="2"/>
        <scheme val="minor"/>
      </rPr>
      <t>MAX</t>
    </r>
    <phoneticPr fontId="1" type="noConversion"/>
  </si>
  <si>
    <r>
      <t>Q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I</t>
    </r>
    <r>
      <rPr>
        <b/>
        <vertAlign val="subscript"/>
        <sz val="11"/>
        <color theme="1"/>
        <rFont val="Calibri"/>
        <family val="2"/>
        <scheme val="minor"/>
      </rPr>
      <t>PK</t>
    </r>
    <phoneticPr fontId="1" type="noConversion"/>
  </si>
  <si>
    <r>
      <t>Q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I</t>
    </r>
    <r>
      <rPr>
        <b/>
        <vertAlign val="subscript"/>
        <sz val="11"/>
        <color theme="1"/>
        <rFont val="Calibri"/>
        <family val="2"/>
        <scheme val="minor"/>
      </rPr>
      <t>RMS</t>
    </r>
    <phoneticPr fontId="1" type="noConversion"/>
  </si>
  <si>
    <t>Dmax</t>
    <phoneticPr fontId="1" type="noConversion"/>
  </si>
  <si>
    <r>
      <t>D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V</t>
    </r>
    <r>
      <rPr>
        <b/>
        <vertAlign val="subscript"/>
        <sz val="11"/>
        <color theme="1"/>
        <rFont val="Calibri"/>
        <family val="2"/>
        <scheme val="minor"/>
      </rPr>
      <t>MAX</t>
    </r>
    <phoneticPr fontId="1" type="noConversion"/>
  </si>
  <si>
    <r>
      <t>D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I</t>
    </r>
    <r>
      <rPr>
        <b/>
        <vertAlign val="subscript"/>
        <sz val="11"/>
        <color theme="1"/>
        <rFont val="Calibri"/>
        <family val="2"/>
        <scheme val="minor"/>
      </rPr>
      <t>PK</t>
    </r>
    <phoneticPr fontId="1" type="noConversion"/>
  </si>
  <si>
    <r>
      <t>D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I</t>
    </r>
    <r>
      <rPr>
        <b/>
        <vertAlign val="subscript"/>
        <sz val="11"/>
        <color theme="1"/>
        <rFont val="Calibri"/>
        <family val="2"/>
        <scheme val="minor"/>
      </rPr>
      <t>AVG</t>
    </r>
    <phoneticPr fontId="1" type="noConversion"/>
  </si>
  <si>
    <r>
      <t>I</t>
    </r>
    <r>
      <rPr>
        <b/>
        <vertAlign val="subscript"/>
        <sz val="11"/>
        <color theme="1"/>
        <rFont val="Calibri"/>
        <family val="3"/>
        <charset val="129"/>
        <scheme val="minor"/>
      </rPr>
      <t>LBUCK.RMS</t>
    </r>
    <phoneticPr fontId="1" type="noConversion"/>
  </si>
  <si>
    <t>ICS.LIM.MIN</t>
    <phoneticPr fontId="1" type="noConversion"/>
  </si>
  <si>
    <t>A</t>
    <phoneticPr fontId="1" type="noConversion"/>
  </si>
  <si>
    <t>VBST.CS.RIPPLE</t>
    <phoneticPr fontId="1" type="noConversion"/>
  </si>
  <si>
    <t>N.Toff</t>
    <phoneticPr fontId="1" type="noConversion"/>
  </si>
  <si>
    <t>Toff tolerance</t>
    <phoneticPr fontId="1" type="noConversion"/>
  </si>
  <si>
    <t>+/- %</t>
    <phoneticPr fontId="1" type="noConversion"/>
  </si>
  <si>
    <t>Ton.min.lim</t>
    <phoneticPr fontId="1" type="noConversion"/>
  </si>
  <si>
    <r>
      <t>L</t>
    </r>
    <r>
      <rPr>
        <b/>
        <vertAlign val="subscript"/>
        <sz val="11"/>
        <color theme="1"/>
        <rFont val="Calibri"/>
        <family val="2"/>
        <scheme val="minor"/>
      </rPr>
      <t>BUCK.MIN</t>
    </r>
    <phoneticPr fontId="1" type="noConversion"/>
  </si>
  <si>
    <t>VBST.OFFSET</t>
    <phoneticPr fontId="1" type="noConversion"/>
  </si>
  <si>
    <t>V</t>
    <phoneticPr fontId="1" type="noConversion"/>
  </si>
  <si>
    <r>
      <t>R</t>
    </r>
    <r>
      <rPr>
        <b/>
        <vertAlign val="subscript"/>
        <sz val="11"/>
        <color theme="1"/>
        <rFont val="Calibri"/>
        <family val="2"/>
        <scheme val="minor"/>
      </rPr>
      <t>ZCD1</t>
    </r>
    <phoneticPr fontId="1" type="noConversion"/>
  </si>
  <si>
    <t>kohm</t>
    <phoneticPr fontId="1" type="noConversion"/>
  </si>
  <si>
    <t>Toff.max</t>
    <phoneticPr fontId="1" type="noConversion"/>
  </si>
  <si>
    <t xml:space="preserve">ILED.MIN @Vo.max </t>
    <phoneticPr fontId="1" type="noConversion"/>
  </si>
  <si>
    <t>ILED.MIN @Vo.min</t>
    <phoneticPr fontId="1" type="noConversion"/>
  </si>
  <si>
    <r>
      <t>I</t>
    </r>
    <r>
      <rPr>
        <b/>
        <vertAlign val="subscript"/>
        <sz val="11"/>
        <color theme="1"/>
        <rFont val="Calibri"/>
        <family val="3"/>
        <charset val="129"/>
        <scheme val="minor"/>
      </rPr>
      <t>LED.MIN</t>
    </r>
    <r>
      <rPr>
        <b/>
        <sz val="11"/>
        <color theme="1"/>
        <rFont val="Calibri"/>
        <family val="2"/>
        <scheme val="minor"/>
      </rPr>
      <t xml:space="preserve"> @ V</t>
    </r>
    <r>
      <rPr>
        <b/>
        <vertAlign val="subscript"/>
        <sz val="11"/>
        <color theme="1"/>
        <rFont val="Calibri"/>
        <family val="2"/>
        <scheme val="minor"/>
      </rPr>
      <t>LED.MAX</t>
    </r>
    <phoneticPr fontId="1" type="noConversion"/>
  </si>
  <si>
    <t>mA</t>
    <phoneticPr fontId="1" type="noConversion"/>
  </si>
  <si>
    <r>
      <t>I</t>
    </r>
    <r>
      <rPr>
        <b/>
        <vertAlign val="subscript"/>
        <sz val="11"/>
        <color theme="1"/>
        <rFont val="Calibri"/>
        <family val="3"/>
        <charset val="129"/>
        <scheme val="minor"/>
      </rPr>
      <t>LED.MIN</t>
    </r>
    <r>
      <rPr>
        <b/>
        <sz val="11"/>
        <color theme="1"/>
        <rFont val="Calibri"/>
        <family val="2"/>
        <scheme val="minor"/>
      </rPr>
      <t xml:space="preserve"> @ V</t>
    </r>
    <r>
      <rPr>
        <b/>
        <vertAlign val="subscript"/>
        <sz val="11"/>
        <color theme="1"/>
        <rFont val="Calibri"/>
        <family val="2"/>
        <scheme val="minor"/>
      </rPr>
      <t>LED.MIN</t>
    </r>
    <phoneticPr fontId="1" type="noConversion"/>
  </si>
  <si>
    <t>mA</t>
    <phoneticPr fontId="1" type="noConversion"/>
  </si>
  <si>
    <t>tpd</t>
    <phoneticPr fontId="1" type="noConversion"/>
  </si>
  <si>
    <t>sec</t>
    <phoneticPr fontId="1" type="noConversion"/>
  </si>
  <si>
    <t>RFF</t>
    <phoneticPr fontId="1" type="noConversion"/>
  </si>
  <si>
    <t>ohm</t>
    <phoneticPr fontId="1" type="noConversion"/>
  </si>
  <si>
    <r>
      <rPr>
        <b/>
        <sz val="11"/>
        <color theme="1"/>
        <rFont val="Calibri"/>
        <family val="3"/>
        <charset val="129"/>
        <scheme val="minor"/>
      </rPr>
      <t>R</t>
    </r>
    <r>
      <rPr>
        <b/>
        <vertAlign val="subscript"/>
        <sz val="11"/>
        <color theme="1"/>
        <rFont val="Calibri"/>
        <family val="3"/>
        <charset val="129"/>
        <scheme val="minor"/>
      </rPr>
      <t>FF</t>
    </r>
    <r>
      <rPr>
        <b/>
        <sz val="11"/>
        <color theme="1"/>
        <rFont val="Calibri"/>
        <family val="3"/>
        <charset val="129"/>
        <scheme val="minor"/>
      </rPr>
      <t xml:space="preserve"> (option)</t>
    </r>
    <r>
      <rPr>
        <b/>
        <sz val="11"/>
        <color theme="1"/>
        <rFont val="Calibri"/>
        <family val="2"/>
        <scheme val="minor"/>
      </rPr>
      <t/>
    </r>
    <phoneticPr fontId="1" type="noConversion"/>
  </si>
  <si>
    <t>Mohm</t>
    <phoneticPr fontId="1" type="noConversion"/>
  </si>
  <si>
    <r>
      <t>P</t>
    </r>
    <r>
      <rPr>
        <b/>
        <vertAlign val="subscript"/>
        <sz val="11"/>
        <color theme="1"/>
        <rFont val="Calibri"/>
        <family val="2"/>
        <scheme val="minor"/>
      </rPr>
      <t>OUT.MAX</t>
    </r>
    <phoneticPr fontId="1" type="noConversion"/>
  </si>
  <si>
    <t>VBST.RES</t>
    <phoneticPr fontId="1" type="noConversion"/>
  </si>
  <si>
    <t>Lbuck.min</t>
    <phoneticPr fontId="1" type="noConversion"/>
  </si>
  <si>
    <t>Frequency curve</t>
    <phoneticPr fontId="1" type="noConversion"/>
  </si>
  <si>
    <t>Vo</t>
    <phoneticPr fontId="1" type="noConversion"/>
  </si>
  <si>
    <t>Tqr</t>
    <phoneticPr fontId="1" type="noConversion"/>
  </si>
  <si>
    <t>vfb.bound</t>
    <phoneticPr fontId="1" type="noConversion"/>
  </si>
  <si>
    <t>vbst.lim</t>
    <phoneticPr fontId="1" type="noConversion"/>
  </si>
  <si>
    <t>Control Circuit</t>
    <phoneticPr fontId="1" type="noConversion"/>
  </si>
  <si>
    <t>Power Device</t>
    <phoneticPr fontId="1" type="noConversion"/>
  </si>
  <si>
    <t>Ton.max</t>
    <phoneticPr fontId="1" type="noConversion"/>
  </si>
  <si>
    <t>Toff.min.lim</t>
    <phoneticPr fontId="1" type="noConversion"/>
  </si>
  <si>
    <t>Vin.typ</t>
    <phoneticPr fontId="1" type="noConversion"/>
  </si>
  <si>
    <r>
      <t>V</t>
    </r>
    <r>
      <rPr>
        <b/>
        <vertAlign val="subscript"/>
        <sz val="11"/>
        <color theme="1"/>
        <rFont val="Calibri"/>
        <family val="2"/>
        <scheme val="minor"/>
      </rPr>
      <t>IN.MAX</t>
    </r>
    <phoneticPr fontId="1" type="noConversion"/>
  </si>
  <si>
    <r>
      <t>V</t>
    </r>
    <r>
      <rPr>
        <b/>
        <vertAlign val="subscript"/>
        <sz val="11"/>
        <color theme="1"/>
        <rFont val="Calibri"/>
        <family val="2"/>
        <scheme val="minor"/>
      </rPr>
      <t>IN.MIN</t>
    </r>
    <phoneticPr fontId="1" type="noConversion"/>
  </si>
  <si>
    <t>Lbuck.max</t>
    <phoneticPr fontId="1" type="noConversion"/>
  </si>
  <si>
    <r>
      <t>L</t>
    </r>
    <r>
      <rPr>
        <b/>
        <vertAlign val="subscript"/>
        <sz val="11"/>
        <color theme="1"/>
        <rFont val="Calibri"/>
        <family val="2"/>
        <scheme val="minor"/>
      </rPr>
      <t>BUCK.MAX</t>
    </r>
    <phoneticPr fontId="1" type="noConversion"/>
  </si>
  <si>
    <t>Input voltage condition</t>
    <phoneticPr fontId="1" type="noConversion"/>
  </si>
  <si>
    <t>V</t>
    <phoneticPr fontId="1" type="noConversion"/>
  </si>
  <si>
    <t>fsw.full.load(QR)</t>
    <phoneticPr fontId="1" type="noConversion"/>
  </si>
  <si>
    <t>fsw.boundary.load(QR &amp; DCM)</t>
    <phoneticPr fontId="1" type="noConversion"/>
  </si>
  <si>
    <r>
      <t>R</t>
    </r>
    <r>
      <rPr>
        <b/>
        <vertAlign val="subscript"/>
        <sz val="11"/>
        <color theme="1"/>
        <rFont val="Calibri"/>
        <family val="3"/>
        <charset val="129"/>
        <scheme val="minor"/>
      </rPr>
      <t>LED</t>
    </r>
    <phoneticPr fontId="1" type="noConversion"/>
  </si>
  <si>
    <t>RZCD1.bo</t>
    <phoneticPr fontId="1" type="noConversion"/>
  </si>
  <si>
    <t>RZCD1.min(2.5Vbst)</t>
    <phoneticPr fontId="1" type="noConversion"/>
  </si>
  <si>
    <t>RZCD1.max(0.5Vbst)</t>
    <phoneticPr fontId="1" type="noConversion"/>
  </si>
  <si>
    <t>RZCD1.max</t>
    <phoneticPr fontId="1" type="noConversion"/>
  </si>
  <si>
    <t>kohm</t>
    <phoneticPr fontId="1" type="noConversion"/>
  </si>
  <si>
    <t>Failmode</t>
    <phoneticPr fontId="1" type="noConversion"/>
  </si>
  <si>
    <t>Switching Frequency</t>
    <phoneticPr fontId="1" type="noConversion"/>
  </si>
  <si>
    <t>Layout Guidance</t>
    <phoneticPr fontId="1" type="noConversion"/>
  </si>
  <si>
    <t>Layout Example (100 W demoboard)</t>
    <phoneticPr fontId="1" type="noConversion"/>
  </si>
  <si>
    <t>NCL30076 Design Tool      Ver. 1.2 Release
Update (07/04/2021)</t>
  </si>
  <si>
    <r>
      <t>R</t>
    </r>
    <r>
      <rPr>
        <b/>
        <vertAlign val="subscript"/>
        <sz val="11"/>
        <color theme="1"/>
        <rFont val="Calibri"/>
        <family val="3"/>
        <charset val="129"/>
        <scheme val="minor"/>
      </rPr>
      <t>VDD</t>
    </r>
    <r>
      <rPr>
        <b/>
        <sz val="11"/>
        <color theme="1"/>
        <rFont val="Calibri"/>
        <family val="3"/>
        <charset val="129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/>
    </r>
  </si>
  <si>
    <t>ohm</t>
  </si>
  <si>
    <r>
      <t>I</t>
    </r>
    <r>
      <rPr>
        <vertAlign val="subscript"/>
        <sz val="11"/>
        <color theme="0"/>
        <rFont val="Calibri"/>
        <family val="3"/>
        <charset val="129"/>
        <scheme val="minor"/>
      </rPr>
      <t>LBUCK.PK</t>
    </r>
  </si>
  <si>
    <r>
      <t>RZCD1.max(</t>
    </r>
    <r>
      <rPr>
        <sz val="11"/>
        <color theme="0"/>
        <rFont val="Arial Unicode MS"/>
        <family val="3"/>
        <charset val="129"/>
      </rPr>
      <t>Δ</t>
    </r>
    <r>
      <rPr>
        <sz val="11"/>
        <color theme="0"/>
        <rFont val="Calibri"/>
        <family val="3"/>
        <charset val="129"/>
        <scheme val="minor"/>
      </rPr>
      <t>Vbst)</t>
    </r>
  </si>
  <si>
    <r>
      <t>V</t>
    </r>
    <r>
      <rPr>
        <vertAlign val="subscript"/>
        <sz val="11"/>
        <color theme="0"/>
        <rFont val="Calibri"/>
        <family val="3"/>
        <charset val="129"/>
        <scheme val="minor"/>
      </rPr>
      <t>IN.BROWN.OUT</t>
    </r>
  </si>
  <si>
    <r>
      <t>R</t>
    </r>
    <r>
      <rPr>
        <vertAlign val="subscript"/>
        <sz val="11"/>
        <color theme="0"/>
        <rFont val="Calibri"/>
        <family val="3"/>
        <charset val="129"/>
        <scheme val="minor"/>
      </rPr>
      <t>VLED.DROP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</si>
</sst>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 "/>
    <numFmt numFmtId="165" formatCode="0_ "/>
    <numFmt numFmtId="166" formatCode="0.000_ "/>
    <numFmt numFmtId="167" formatCode="0.0_ "/>
  </numFmts>
  <fonts count="18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vertAlign val="subscript"/>
      <sz val="11"/>
      <color theme="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Calibri"/>
      <family val="3"/>
      <charset val="129"/>
      <scheme val="minor"/>
    </font>
    <font>
      <b/>
      <vertAlign val="superscript"/>
      <sz val="11"/>
      <color theme="1"/>
      <name val="Calibri"/>
      <family val="3"/>
      <charset val="129"/>
      <scheme val="minor"/>
    </font>
    <font>
      <b/>
      <sz val="15"/>
      <color theme="4" tint="0.79998168889431442"/>
      <name val="Calibri"/>
      <family val="3"/>
      <charset val="129"/>
      <scheme val="minor"/>
    </font>
    <font>
      <b/>
      <sz val="11"/>
      <color theme="0"/>
      <name val="Calibri"/>
      <family val="3"/>
      <charset val="129"/>
      <scheme val="minor"/>
    </font>
    <font>
      <sz val="11"/>
      <color theme="0"/>
      <name val="Calibri"/>
      <family val="3"/>
      <charset val="129"/>
      <scheme val="minor"/>
    </font>
    <font>
      <vertAlign val="subscript"/>
      <sz val="11"/>
      <color theme="0"/>
      <name val="Calibri"/>
      <family val="3"/>
      <charset val="129"/>
      <scheme val="minor"/>
    </font>
    <font>
      <sz val="11"/>
      <name val="Calibri"/>
      <family val="3"/>
      <charset val="129"/>
      <scheme val="minor"/>
    </font>
    <font>
      <sz val="11"/>
      <color theme="0"/>
      <name val="Calibri"/>
      <family val="2"/>
      <charset val="129"/>
      <scheme val="minor"/>
    </font>
    <font>
      <sz val="11"/>
      <color theme="0"/>
      <name val="Arial Unicode MS"/>
      <family val="3"/>
      <charset val="129"/>
    </font>
    <font>
      <sz val="11"/>
      <color theme="1"/>
      <name val="Calibri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 applyProtection="1">
      <alignment horizontal="left" vertical="center"/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/>
      <protection locked="0" hidden="1"/>
    </xf>
    <xf numFmtId="164" fontId="6" fillId="6" borderId="1" xfId="0" applyNumberFormat="1" applyFont="1" applyFill="1" applyBorder="1" applyAlignment="1" applyProtection="1">
      <alignment horizontal="center" vertical="center"/>
      <protection hidden="1"/>
    </xf>
    <xf numFmtId="165" fontId="6" fillId="6" borderId="1" xfId="0" applyNumberFormat="1" applyFont="1" applyFill="1" applyBorder="1" applyAlignment="1" applyProtection="1">
      <alignment horizontal="center" vertical="center"/>
      <protection hidden="1"/>
    </xf>
    <xf numFmtId="166" fontId="6" fillId="6" borderId="1" xfId="0" applyNumberFormat="1" applyFont="1" applyFill="1" applyBorder="1" applyAlignment="1" applyProtection="1">
      <alignment horizontal="center" vertical="center"/>
      <protection hidden="1"/>
    </xf>
    <xf numFmtId="167" fontId="6" fillId="6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2" fillId="0" borderId="0" xfId="0" quotePrefix="1" applyFont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4" borderId="5" xfId="0" applyFont="1" applyFill="1" applyBorder="1" applyAlignment="1" applyProtection="1">
      <alignment horizontal="center"/>
      <protection hidden="1"/>
    </xf>
    <xf numFmtId="0" fontId="8" fillId="4" borderId="0" xfId="0" applyFont="1" applyFill="1" applyAlignment="1" applyProtection="1">
      <alignment horizontal="center"/>
      <protection hidden="1"/>
    </xf>
    <xf numFmtId="0" fontId="10" fillId="4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6" fillId="5" borderId="1" xfId="0" applyFont="1" applyFill="1" applyBorder="1" applyAlignment="1" applyProtection="1">
      <alignment horizontal="center"/>
      <protection hidden="1"/>
    </xf>
    <xf numFmtId="0" fontId="8" fillId="4" borderId="2" xfId="0" applyFont="1" applyFill="1" applyBorder="1" applyAlignment="1" applyProtection="1">
      <alignment horizontal="center"/>
      <protection hidden="1"/>
    </xf>
    <xf numFmtId="0" fontId="8" fillId="4" borderId="3" xfId="0" applyFont="1" applyFill="1" applyBorder="1" applyAlignment="1" applyProtection="1">
      <alignment horizontal="center"/>
      <protection hidden="1"/>
    </xf>
    <xf numFmtId="0" fontId="8" fillId="4" borderId="4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0" fontId="7" fillId="4" borderId="1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94203849518811"/>
          <c:y val="4.2274200693817376E-2"/>
          <c:w val="0.80828018372703425"/>
          <c:h val="0.7968983385664174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'NCL30076 Design Tool'!$W$5</c:f>
              <c:strCache>
                <c:ptCount val="1"/>
                <c:pt idx="0">
                  <c:v>fsw.full.load(QR)</c:v>
                </c:pt>
              </c:strCache>
            </c:strRef>
          </c:tx>
          <c:spPr>
            <a:ln w="28575" cap="rnd">
              <a:solidFill>
                <a:schemeClr val="lt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6"/>
              </a:outerShdw>
            </a:effectLst>
          </c:spPr>
          <c:marker>
            <c:symbol val="circle"/>
            <c:size val="6"/>
            <c:spPr>
              <a:solidFill>
                <a:schemeClr val="accent6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xVal>
            <c:numRef>
              <c:f>'NCL30076 Design Tool'!$V$6:$V$16</c:f>
              <c:numCache>
                <c:formatCode>General</c:formatCode>
                <c:ptCount val="11"/>
                <c:pt idx="0">
                  <c:v>300</c:v>
                </c:pt>
                <c:pt idx="1">
                  <c:v>280</c:v>
                </c:pt>
                <c:pt idx="2">
                  <c:v>260</c:v>
                </c:pt>
                <c:pt idx="3">
                  <c:v>240</c:v>
                </c:pt>
                <c:pt idx="4">
                  <c:v>220</c:v>
                </c:pt>
                <c:pt idx="5">
                  <c:v>200</c:v>
                </c:pt>
                <c:pt idx="6">
                  <c:v>180</c:v>
                </c:pt>
                <c:pt idx="7">
                  <c:v>160</c:v>
                </c:pt>
                <c:pt idx="8">
                  <c:v>140</c:v>
                </c:pt>
                <c:pt idx="9">
                  <c:v>120</c:v>
                </c:pt>
                <c:pt idx="10">
                  <c:v>100</c:v>
                </c:pt>
              </c:numCache>
            </c:numRef>
          </c:xVal>
          <c:yVal>
            <c:numRef>
              <c:f>'NCL30076 Design Tool'!$W$6:$W$16</c:f>
              <c:numCache>
                <c:formatCode>General</c:formatCode>
                <c:ptCount val="11"/>
                <c:pt idx="0">
                  <c:v>64.119004873044361</c:v>
                </c:pt>
                <c:pt idx="1">
                  <c:v>71.538068472151252</c:v>
                </c:pt>
                <c:pt idx="2">
                  <c:v>77.269253629956665</c:v>
                </c:pt>
                <c:pt idx="3">
                  <c:v>81.342145399084885</c:v>
                </c:pt>
                <c:pt idx="4">
                  <c:v>83.777608530083754</c:v>
                </c:pt>
                <c:pt idx="5">
                  <c:v>84.588056166469286</c:v>
                </c:pt>
                <c:pt idx="6">
                  <c:v>83.777608530083768</c:v>
                </c:pt>
                <c:pt idx="7">
                  <c:v>81.342145399084885</c:v>
                </c:pt>
                <c:pt idx="8">
                  <c:v>77.26925362995668</c:v>
                </c:pt>
                <c:pt idx="9">
                  <c:v>71.538068472151238</c:v>
                </c:pt>
                <c:pt idx="10">
                  <c:v>64.119004873044361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BD-4AA9-929C-6C78E6135315}"/>
            </c:ext>
          </c:extLst>
        </c:ser>
        <c:ser>
          <c:idx val="1"/>
          <c:order val="1"/>
          <c:tx>
            <c:strRef>
              <c:f>'NCL30076 Design Tool'!$Z$5</c:f>
              <c:strCache>
                <c:ptCount val="1"/>
                <c:pt idx="0">
                  <c:v>fsw.boundary.load(QR &amp; DCM)</c:v>
                </c:pt>
              </c:strCache>
            </c:strRef>
          </c:tx>
          <c:spPr>
            <a:ln w="28575" cap="rnd">
              <a:solidFill>
                <a:schemeClr val="lt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circle"/>
            <c:size val="6"/>
            <c:spPr>
              <a:solidFill>
                <a:schemeClr val="accent2"/>
              </a:solidFill>
              <a:ln w="22225">
                <a:solidFill>
                  <a:schemeClr val="accent4">
                    <a:lumMod val="60000"/>
                    <a:lumOff val="40000"/>
                  </a:schemeClr>
                </a:solidFill>
                <a:round/>
              </a:ln>
              <a:effectLst/>
            </c:spPr>
          </c:marker>
          <c:xVal>
            <c:numRef>
              <c:f>'NCL30076 Design Tool'!$V$6:$V$16</c:f>
              <c:numCache>
                <c:formatCode>General</c:formatCode>
                <c:ptCount val="11"/>
                <c:pt idx="0">
                  <c:v>300</c:v>
                </c:pt>
                <c:pt idx="1">
                  <c:v>280</c:v>
                </c:pt>
                <c:pt idx="2">
                  <c:v>260</c:v>
                </c:pt>
                <c:pt idx="3">
                  <c:v>240</c:v>
                </c:pt>
                <c:pt idx="4">
                  <c:v>220</c:v>
                </c:pt>
                <c:pt idx="5">
                  <c:v>200</c:v>
                </c:pt>
                <c:pt idx="6">
                  <c:v>180</c:v>
                </c:pt>
                <c:pt idx="7">
                  <c:v>160</c:v>
                </c:pt>
                <c:pt idx="8">
                  <c:v>140</c:v>
                </c:pt>
                <c:pt idx="9">
                  <c:v>120</c:v>
                </c:pt>
                <c:pt idx="10">
                  <c:v>100</c:v>
                </c:pt>
              </c:numCache>
            </c:numRef>
          </c:xVal>
          <c:yVal>
            <c:numRef>
              <c:f>'NCL30076 Design Tool'!$Z$6:$Z$16</c:f>
              <c:numCache>
                <c:formatCode>General</c:formatCode>
                <c:ptCount val="11"/>
                <c:pt idx="0">
                  <c:v>92.495035967692218</c:v>
                </c:pt>
                <c:pt idx="1">
                  <c:v>105.11906419730687</c:v>
                </c:pt>
                <c:pt idx="2">
                  <c:v>115.80069479388847</c:v>
                </c:pt>
                <c:pt idx="3">
                  <c:v>124.51002583689986</c:v>
                </c:pt>
                <c:pt idx="4">
                  <c:v>131.1946610075918</c:v>
                </c:pt>
                <c:pt idx="5">
                  <c:v>135.77567542233501</c:v>
                </c:pt>
                <c:pt idx="6">
                  <c:v>138.1418811494469</c:v>
                </c:pt>
                <c:pt idx="7">
                  <c:v>138.14160821105133</c:v>
                </c:pt>
                <c:pt idx="8">
                  <c:v>135.57071946829902</c:v>
                </c:pt>
                <c:pt idx="9">
                  <c:v>130.15468106382042</c:v>
                </c:pt>
                <c:pt idx="10">
                  <c:v>121.52080339815583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BD-4AA9-929C-6C78E6135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62328"/>
        <c:axId val="582364624"/>
      </c:scatterChart>
      <c:valAx>
        <c:axId val="582362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 sz="1200" baseline="0"/>
                  <a:t>Vout[V]</a:t>
                </a:r>
                <a:endParaRPr lang="ko-KR" altLang="en-US" sz="1200" baseline="0"/>
              </a:p>
            </c:rich>
          </c:tx>
          <c:layout>
            <c:manualLayout>
              <c:xMode val="edge"/>
              <c:yMode val="edge"/>
              <c:x val="0.48592235345581802"/>
              <c:y val="0.920639795970242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ko-KR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364624"/>
        <c:crosses val="autoZero"/>
        <c:crossBetween val="midCat"/>
      </c:valAx>
      <c:valAx>
        <c:axId val="58236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 sz="1200"/>
                  <a:t>fsw[kHz</a:t>
                </a:r>
                <a:r>
                  <a:rPr lang="en-US" altLang="ko-KR"/>
                  <a:t>]</a:t>
                </a:r>
                <a:endParaRPr lang="ko-KR" altLang="en-US"/>
              </a:p>
            </c:rich>
          </c:tx>
          <c:layout>
            <c:manualLayout>
              <c:xMode val="edge"/>
              <c:yMode val="edge"/>
              <c:x val="1.1111111111111112E-2"/>
              <c:y val="0.336632758541385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ko-KR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362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227088581949839"/>
          <c:y val="0.71610510797177995"/>
          <c:w val="0.62224506240490995"/>
          <c:h val="0.10222608833181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593</xdr:colOff>
      <xdr:row>3</xdr:row>
      <xdr:rowOff>2927</xdr:rowOff>
    </xdr:from>
    <xdr:to>
      <xdr:col>27</xdr:col>
      <xdr:colOff>15276</xdr:colOff>
      <xdr:row>19</xdr:row>
      <xdr:rowOff>1681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28</xdr:row>
          <xdr:rowOff>38100</xdr:rowOff>
        </xdr:from>
        <xdr:to>
          <xdr:col>26</xdr:col>
          <xdr:colOff>571500</xdr:colOff>
          <xdr:row>42</xdr:row>
          <xdr:rowOff>171450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45720</xdr:rowOff>
        </xdr:from>
        <xdr:to>
          <xdr:col>15</xdr:col>
          <xdr:colOff>0</xdr:colOff>
          <xdr:row>43</xdr:row>
          <xdr:rowOff>24765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223333</xdr:colOff>
          <xdr:row>1</xdr:row>
          <xdr:rowOff>7171</xdr:rowOff>
        </xdr:from>
        <xdr:to>
          <xdr:col>9</xdr:col>
          <xdr:colOff>579568</xdr:colOff>
          <xdr:row>25</xdr:row>
          <xdr:rowOff>1904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Visio_2003-2010_Drawing2.vsd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Visio_2003-2010_Drawing1.vsd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oleObject" Target="../embeddings/Microsoft_Visio_2003-2010_Drawing.vsd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76"/>
  <sheetViews>
    <sheetView tabSelected="1" zoomScale="85" zoomScaleNormal="85" workbookViewId="0">
      <selection activeCell="N3" sqref="N3"/>
    </sheetView>
  </sheetViews>
  <sheetFormatPr defaultColWidth="9" defaultRowHeight="14.4"/>
  <cols>
    <col min="1" max="1" width="3.5546875" style="8" customWidth="1"/>
    <col min="2" max="3" width="9" style="8"/>
    <col min="4" max="4" width="9" style="8" customWidth="1"/>
    <col min="5" max="7" width="9" style="8"/>
    <col min="8" max="9" width="9" style="8" customWidth="1"/>
    <col min="10" max="10" width="9" style="8"/>
    <col min="11" max="11" width="3.5546875" style="8" customWidth="1"/>
    <col min="12" max="13" width="9" style="8"/>
    <col min="14" max="14" width="9" style="8" customWidth="1"/>
    <col min="15" max="15" width="9" style="8"/>
    <col min="16" max="16" width="3.5546875" style="8" customWidth="1"/>
    <col min="17" max="18" width="9" style="8"/>
    <col min="19" max="19" width="9" style="8" customWidth="1"/>
    <col min="20" max="20" width="9" style="8"/>
    <col min="21" max="21" width="3.5546875" style="8" customWidth="1"/>
    <col min="22" max="16384" width="9" style="8"/>
  </cols>
  <sheetData>
    <row r="2" spans="2:27" ht="16.5" customHeight="1">
      <c r="B2" s="30" t="s">
        <v>13</v>
      </c>
      <c r="C2" s="30"/>
      <c r="D2" s="30"/>
      <c r="E2" s="30"/>
      <c r="F2" s="11"/>
      <c r="G2" s="30" t="s">
        <v>10</v>
      </c>
      <c r="H2" s="30"/>
      <c r="I2" s="30"/>
      <c r="J2" s="30"/>
      <c r="L2" s="32" t="s">
        <v>0</v>
      </c>
      <c r="M2" s="31"/>
      <c r="N2" s="31"/>
      <c r="O2" s="31"/>
      <c r="Q2" s="31" t="s">
        <v>10</v>
      </c>
      <c r="R2" s="31"/>
      <c r="S2" s="31"/>
      <c r="T2" s="31"/>
      <c r="V2" s="26" t="s">
        <v>108</v>
      </c>
      <c r="W2" s="27"/>
      <c r="X2" s="27"/>
      <c r="Y2" s="27"/>
      <c r="Z2" s="27"/>
      <c r="AA2" s="28"/>
    </row>
    <row r="3" spans="2:27" ht="16.5" customHeight="1">
      <c r="B3" s="22" t="s">
        <v>18</v>
      </c>
      <c r="C3" s="22"/>
      <c r="D3" s="11">
        <v>10</v>
      </c>
      <c r="E3" s="11" t="s">
        <v>19</v>
      </c>
      <c r="F3" s="11"/>
      <c r="G3" s="22" t="s">
        <v>61</v>
      </c>
      <c r="H3" s="22"/>
      <c r="I3" s="11">
        <f>1.2*10^-6</f>
        <v>1.1999999999999999E-6</v>
      </c>
      <c r="J3" s="11" t="s">
        <v>12</v>
      </c>
      <c r="L3" s="29" t="s">
        <v>93</v>
      </c>
      <c r="M3" s="29"/>
      <c r="N3" s="3">
        <v>420</v>
      </c>
      <c r="O3" s="13" t="s">
        <v>1</v>
      </c>
      <c r="Q3" s="23" t="s">
        <v>62</v>
      </c>
      <c r="R3" s="23"/>
      <c r="S3" s="4">
        <f>Lbuck.min.limit*1000</f>
        <v>1.3273705360036294</v>
      </c>
      <c r="T3" s="12" t="s">
        <v>27</v>
      </c>
      <c r="V3" s="29" t="s">
        <v>97</v>
      </c>
      <c r="W3" s="29"/>
      <c r="X3" s="29"/>
      <c r="Y3" s="29"/>
      <c r="Z3" s="3">
        <v>400</v>
      </c>
      <c r="AA3" s="13" t="s">
        <v>98</v>
      </c>
    </row>
    <row r="4" spans="2:27" ht="16.5" customHeight="1">
      <c r="B4" s="22" t="s">
        <v>63</v>
      </c>
      <c r="C4" s="22"/>
      <c r="D4" s="11">
        <v>0.2</v>
      </c>
      <c r="E4" s="11" t="s">
        <v>64</v>
      </c>
      <c r="F4" s="11"/>
      <c r="G4" s="22" t="s">
        <v>91</v>
      </c>
      <c r="H4" s="22"/>
      <c r="I4" s="11">
        <f>1.5*10^-6</f>
        <v>1.5E-6</v>
      </c>
      <c r="J4" s="11" t="s">
        <v>12</v>
      </c>
      <c r="L4" s="29" t="s">
        <v>94</v>
      </c>
      <c r="M4" s="29"/>
      <c r="N4" s="3">
        <v>380</v>
      </c>
      <c r="O4" s="13" t="s">
        <v>1</v>
      </c>
      <c r="Q4" s="23" t="s">
        <v>96</v>
      </c>
      <c r="R4" s="23"/>
      <c r="S4" s="4">
        <f>Lbuck.max.limit*1000</f>
        <v>4.8587913756453078</v>
      </c>
      <c r="T4" s="12" t="s">
        <v>27</v>
      </c>
      <c r="V4" s="30" t="s">
        <v>83</v>
      </c>
      <c r="W4" s="30"/>
      <c r="X4" s="30"/>
      <c r="Y4" s="30"/>
      <c r="Z4" s="11"/>
      <c r="AA4" s="11"/>
    </row>
    <row r="5" spans="2:27" ht="16.5" customHeight="1">
      <c r="B5" s="22" t="s">
        <v>16</v>
      </c>
      <c r="C5" s="22"/>
      <c r="D5" s="11">
        <v>1.8</v>
      </c>
      <c r="E5" s="11" t="s">
        <v>1</v>
      </c>
      <c r="F5" s="11"/>
      <c r="G5" s="22" t="s">
        <v>81</v>
      </c>
      <c r="H5" s="22"/>
      <c r="I5" s="11">
        <v>0.16</v>
      </c>
      <c r="J5" s="11" t="s">
        <v>64</v>
      </c>
      <c r="L5" s="29" t="s">
        <v>2</v>
      </c>
      <c r="M5" s="29"/>
      <c r="N5" s="3">
        <v>300</v>
      </c>
      <c r="O5" s="13" t="s">
        <v>1</v>
      </c>
      <c r="Q5" s="29" t="s">
        <v>28</v>
      </c>
      <c r="R5" s="29"/>
      <c r="S5" s="3">
        <v>1.6</v>
      </c>
      <c r="T5" s="13" t="s">
        <v>27</v>
      </c>
      <c r="V5" s="11" t="s">
        <v>84</v>
      </c>
      <c r="W5" s="11" t="s">
        <v>99</v>
      </c>
      <c r="X5" s="11" t="s">
        <v>86</v>
      </c>
      <c r="Y5" s="11" t="s">
        <v>87</v>
      </c>
      <c r="Z5" s="11" t="s">
        <v>100</v>
      </c>
      <c r="AA5" s="11"/>
    </row>
    <row r="6" spans="2:27" ht="16.5" customHeight="1">
      <c r="B6" s="22" t="s">
        <v>17</v>
      </c>
      <c r="C6" s="22"/>
      <c r="D6" s="11">
        <v>1.75</v>
      </c>
      <c r="E6" s="11" t="s">
        <v>1</v>
      </c>
      <c r="F6" s="11"/>
      <c r="G6" s="22" t="s">
        <v>82</v>
      </c>
      <c r="H6" s="22"/>
      <c r="I6" s="11">
        <f>IF( (Vin.max-Vo.min)*Ton.min.lim &gt; Vo.max*(Toff.min.lim-T_qr), (Vin.max-Vo.min)*Ton.min.lim, Vo.max*(Toff.min.lim-T_qr) )/((Vb.cs.lim.min-Vbst.off-Vbst.res)/G.BST/Rcs)</f>
        <v>1.3273705360036295E-3</v>
      </c>
      <c r="J6" s="11" t="s">
        <v>26</v>
      </c>
      <c r="L6" s="29" t="s">
        <v>3</v>
      </c>
      <c r="M6" s="29"/>
      <c r="N6" s="3">
        <v>100</v>
      </c>
      <c r="O6" s="13" t="s">
        <v>1</v>
      </c>
      <c r="Q6" s="29" t="s">
        <v>30</v>
      </c>
      <c r="R6" s="29"/>
      <c r="S6" s="3">
        <v>58</v>
      </c>
      <c r="T6" s="13" t="s">
        <v>31</v>
      </c>
      <c r="V6" s="11">
        <f>Vo.max</f>
        <v>300</v>
      </c>
      <c r="W6" s="11">
        <f t="shared" ref="W6:W16" si="0">1 / ( Lbuck*((Vb.cs.lim.max-Vbst.off)/G.BST/Rcs) * Vin.freq/(Vin.freq - V6)/V6 + T_qr) / 1000</f>
        <v>64.119004873044361</v>
      </c>
      <c r="X6" s="11">
        <f t="shared" ref="X6:X16" si="1">( -1*(Vb.cs.rip-Vbst.off-1.1) + ( (Vb.cs.rip-Vbst.off-1.1)^2 - 4*( (Vb.cs.rip-Vbst.off)*-1.1 - V6/Lbuck*G.BST*Rcs*10^-6*2.7 ) )^0.5 ) / 2</f>
        <v>2.1473853618072751</v>
      </c>
      <c r="Y6" s="11">
        <f t="shared" ref="Y6:Y16" si="2">IF( (X6+Vb.cs.rip)&gt;Vb.cs.lim.min,X6+Vb.cs.rip,Vb.cs.lim.min )</f>
        <v>2.5223853618072751</v>
      </c>
      <c r="Z6" s="11">
        <f t="shared" ref="Z6:Z16" si="3">1 / (Lbuck*(Y6-Vbst.off)/G.BST/Rcs * Vin.freq/(Vin.freq - V6)/V6 + T_qr ) / 1000</f>
        <v>92.495035967692218</v>
      </c>
      <c r="AA6" s="11"/>
    </row>
    <row r="7" spans="2:27" ht="15.6">
      <c r="B7" s="22" t="s">
        <v>20</v>
      </c>
      <c r="C7" s="22"/>
      <c r="D7" s="11">
        <f>Vbst.off+(Vref.max-Vbst.off)*2+0.2</f>
        <v>3.6000000000000005</v>
      </c>
      <c r="E7" s="11" t="s">
        <v>1</v>
      </c>
      <c r="F7" s="11"/>
      <c r="G7" s="22" t="s">
        <v>95</v>
      </c>
      <c r="H7" s="22"/>
      <c r="I7" s="11">
        <f>(Vin.min-Vo.max)*Ton.max/((Vb.cs.lim.max-Vbst.off+Vbst.res)/G.BST/Rcs)</f>
        <v>4.8587913756453077E-3</v>
      </c>
      <c r="J7" s="11" t="s">
        <v>26</v>
      </c>
      <c r="L7" s="29" t="s">
        <v>4</v>
      </c>
      <c r="M7" s="29"/>
      <c r="N7" s="3">
        <v>333</v>
      </c>
      <c r="O7" s="13" t="s">
        <v>5</v>
      </c>
      <c r="Q7" s="29" t="s">
        <v>32</v>
      </c>
      <c r="R7" s="29"/>
      <c r="S7" s="3">
        <v>0.32</v>
      </c>
      <c r="T7" s="13" t="s">
        <v>33</v>
      </c>
      <c r="V7" s="11">
        <f t="shared" ref="V7:V16" si="4">V6-(Vo.max-Vo.min)/10</f>
        <v>280</v>
      </c>
      <c r="W7" s="11">
        <f t="shared" si="0"/>
        <v>71.538068472151252</v>
      </c>
      <c r="X7" s="11">
        <f t="shared" si="1"/>
        <v>2.0985551703015002</v>
      </c>
      <c r="Y7" s="11">
        <f t="shared" si="2"/>
        <v>2.4735551703015002</v>
      </c>
      <c r="Z7" s="11">
        <f t="shared" si="3"/>
        <v>105.11906419730687</v>
      </c>
      <c r="AA7" s="11"/>
    </row>
    <row r="8" spans="2:27" ht="15.6">
      <c r="B8" s="22" t="s">
        <v>35</v>
      </c>
      <c r="C8" s="22"/>
      <c r="D8" s="11">
        <v>5</v>
      </c>
      <c r="E8" s="11" t="s">
        <v>1</v>
      </c>
      <c r="F8" s="11"/>
      <c r="G8" s="22" t="s">
        <v>29</v>
      </c>
      <c r="H8" s="22"/>
      <c r="I8" s="11">
        <f>S5/1000</f>
        <v>1.6000000000000001E-3</v>
      </c>
      <c r="J8" s="11" t="s">
        <v>26</v>
      </c>
      <c r="L8" s="23" t="s">
        <v>70</v>
      </c>
      <c r="M8" s="23"/>
      <c r="N8" s="7">
        <f>Io.min.Vo.max*1000</f>
        <v>0</v>
      </c>
      <c r="O8" s="12" t="s">
        <v>71</v>
      </c>
      <c r="Q8" s="23" t="s">
        <v>36</v>
      </c>
      <c r="R8" s="23"/>
      <c r="S8" s="5">
        <f>ILbuck.pk*Lbuck/Ae/Bmax</f>
        <v>86.120689655172413</v>
      </c>
      <c r="T8" s="12" t="s">
        <v>37</v>
      </c>
      <c r="V8" s="11">
        <f t="shared" si="4"/>
        <v>260</v>
      </c>
      <c r="W8" s="11">
        <f t="shared" si="0"/>
        <v>77.269253629956665</v>
      </c>
      <c r="X8" s="11">
        <f t="shared" si="1"/>
        <v>2.0482220305299754</v>
      </c>
      <c r="Y8" s="11">
        <f t="shared" si="2"/>
        <v>2.4232220305299754</v>
      </c>
      <c r="Z8" s="11">
        <f t="shared" si="3"/>
        <v>115.80069479388847</v>
      </c>
      <c r="AA8" s="11"/>
    </row>
    <row r="9" spans="2:27" ht="15.6">
      <c r="B9" s="22" t="s">
        <v>43</v>
      </c>
      <c r="C9" s="22"/>
      <c r="D9" s="11">
        <v>1.5</v>
      </c>
      <c r="E9" s="11" t="s">
        <v>44</v>
      </c>
      <c r="F9" s="11"/>
      <c r="G9" s="22" t="s">
        <v>30</v>
      </c>
      <c r="H9" s="22"/>
      <c r="I9" s="11">
        <f>S6*10^-6</f>
        <v>5.8E-5</v>
      </c>
      <c r="J9" s="11" t="s">
        <v>34</v>
      </c>
      <c r="L9" s="23" t="s">
        <v>72</v>
      </c>
      <c r="M9" s="23"/>
      <c r="N9" s="7">
        <f>Io.min.Vo.min*1000</f>
        <v>0.75928154818193583</v>
      </c>
      <c r="O9" s="12" t="s">
        <v>73</v>
      </c>
      <c r="Q9" s="23" t="s">
        <v>54</v>
      </c>
      <c r="R9" s="23"/>
      <c r="S9" s="4">
        <f>(
(
((Vin-Vo.max)/Lbuck)^2 * 1/3*(Dmax/fsw.Vo.max)^3 +
(Vo.max/Lbuck)^2 * 1/3*((1-Dmax)/fsw.Vo.max)^3
) * fsw.Vo.max
)^0.5</f>
        <v>0.4085474842353089</v>
      </c>
      <c r="T9" s="12" t="s">
        <v>8</v>
      </c>
      <c r="V9" s="11">
        <f t="shared" si="4"/>
        <v>240</v>
      </c>
      <c r="W9" s="11">
        <f t="shared" si="0"/>
        <v>81.342145399084885</v>
      </c>
      <c r="X9" s="11">
        <f t="shared" si="1"/>
        <v>1.9962379815163822</v>
      </c>
      <c r="Y9" s="11">
        <f t="shared" si="2"/>
        <v>2.3712379815163822</v>
      </c>
      <c r="Z9" s="11">
        <f t="shared" si="3"/>
        <v>124.51002583689986</v>
      </c>
      <c r="AA9" s="11"/>
    </row>
    <row r="10" spans="2:27" ht="15.6">
      <c r="B10" s="22" t="s">
        <v>46</v>
      </c>
      <c r="C10" s="22"/>
      <c r="D10" s="11">
        <v>1</v>
      </c>
      <c r="E10" s="11" t="s">
        <v>44</v>
      </c>
      <c r="F10" s="11"/>
      <c r="G10" s="22" t="s">
        <v>50</v>
      </c>
      <c r="H10" s="22"/>
      <c r="I10" s="11">
        <f>Vo.max/Vin</f>
        <v>0.75</v>
      </c>
      <c r="J10" s="11"/>
      <c r="L10" s="23" t="s">
        <v>80</v>
      </c>
      <c r="M10" s="23"/>
      <c r="N10" s="5">
        <f>Io.max*Vo.max</f>
        <v>99.9</v>
      </c>
      <c r="O10" s="12" t="s">
        <v>9</v>
      </c>
      <c r="V10" s="11">
        <f t="shared" si="4"/>
        <v>220</v>
      </c>
      <c r="W10" s="11">
        <f t="shared" si="0"/>
        <v>83.777608530083754</v>
      </c>
      <c r="X10" s="11">
        <f t="shared" si="1"/>
        <v>1.9424290637675119</v>
      </c>
      <c r="Y10" s="11">
        <f t="shared" si="2"/>
        <v>2.3174290637675119</v>
      </c>
      <c r="Z10" s="11">
        <f t="shared" si="3"/>
        <v>131.1946610075918</v>
      </c>
      <c r="AA10" s="11"/>
    </row>
    <row r="11" spans="2:27">
      <c r="B11" s="22" t="s">
        <v>57</v>
      </c>
      <c r="C11" s="22"/>
      <c r="D11" s="11">
        <v>0.375</v>
      </c>
      <c r="E11" s="11" t="s">
        <v>1</v>
      </c>
      <c r="F11" s="11"/>
      <c r="G11" s="22" t="s">
        <v>25</v>
      </c>
      <c r="H11" s="22"/>
      <c r="I11" s="11">
        <f>Rcs/Lbuck/((Vb.cs.lim.max-Vbst.off)/G.BST) * Vo.max*(Vin - Vo.max)/Vin</f>
        <v>66242.713301536831</v>
      </c>
      <c r="J11" s="11" t="s">
        <v>11</v>
      </c>
      <c r="V11" s="11">
        <f t="shared" si="4"/>
        <v>200</v>
      </c>
      <c r="W11" s="11">
        <f t="shared" si="0"/>
        <v>84.588056166469286</v>
      </c>
      <c r="X11" s="11">
        <f t="shared" si="1"/>
        <v>1.8865884353233202</v>
      </c>
      <c r="Y11" s="11">
        <f t="shared" si="2"/>
        <v>2.2615884353233202</v>
      </c>
      <c r="Z11" s="11">
        <f t="shared" si="3"/>
        <v>135.77567542233501</v>
      </c>
      <c r="AA11" s="11"/>
    </row>
    <row r="12" spans="2:27" ht="15.6">
      <c r="B12" s="22" t="s">
        <v>58</v>
      </c>
      <c r="C12" s="22"/>
      <c r="D12" s="11">
        <v>2</v>
      </c>
      <c r="E12" s="11"/>
      <c r="F12" s="11"/>
      <c r="G12" s="24" t="s">
        <v>114</v>
      </c>
      <c r="H12" s="24"/>
      <c r="I12" s="10">
        <f>(Vb.cs.lim.max.pk-Vbst.off)/G.BST/Rcs</f>
        <v>0.999</v>
      </c>
      <c r="J12" s="18" t="s">
        <v>8</v>
      </c>
      <c r="L12" s="31" t="s">
        <v>88</v>
      </c>
      <c r="M12" s="31"/>
      <c r="N12" s="31"/>
      <c r="O12" s="31"/>
      <c r="Q12" s="31" t="s">
        <v>89</v>
      </c>
      <c r="R12" s="31"/>
      <c r="S12" s="31"/>
      <c r="T12" s="31"/>
      <c r="V12" s="11">
        <f t="shared" si="4"/>
        <v>180</v>
      </c>
      <c r="W12" s="11">
        <f t="shared" si="0"/>
        <v>83.777608530083768</v>
      </c>
      <c r="X12" s="11">
        <f t="shared" si="1"/>
        <v>1.8284669503540192</v>
      </c>
      <c r="Y12" s="11">
        <f t="shared" si="2"/>
        <v>2.2034669503540192</v>
      </c>
      <c r="Z12" s="11">
        <f t="shared" si="3"/>
        <v>138.1418811494469</v>
      </c>
      <c r="AA12" s="11"/>
    </row>
    <row r="13" spans="2:27" ht="15.6">
      <c r="B13" s="22" t="s">
        <v>59</v>
      </c>
      <c r="C13" s="22"/>
      <c r="D13" s="11">
        <v>30</v>
      </c>
      <c r="E13" s="9" t="s">
        <v>60</v>
      </c>
      <c r="F13" s="11"/>
      <c r="G13" s="30" t="s">
        <v>24</v>
      </c>
      <c r="H13" s="30"/>
      <c r="I13" s="30"/>
      <c r="J13" s="30"/>
      <c r="L13" s="23" t="s">
        <v>14</v>
      </c>
      <c r="M13" s="23"/>
      <c r="N13" s="6">
        <f>(Vref.max-Vbst.off)/G.BST/Io.max</f>
        <v>0.48048048048048048</v>
      </c>
      <c r="O13" s="12" t="s">
        <v>15</v>
      </c>
      <c r="Q13" s="23" t="s">
        <v>47</v>
      </c>
      <c r="R13" s="23"/>
      <c r="S13" s="5">
        <f>Vin.max</f>
        <v>420</v>
      </c>
      <c r="T13" s="12" t="s">
        <v>1</v>
      </c>
      <c r="V13" s="11">
        <f t="shared" si="4"/>
        <v>160</v>
      </c>
      <c r="W13" s="11">
        <f t="shared" si="0"/>
        <v>81.342145399084885</v>
      </c>
      <c r="X13" s="11">
        <f t="shared" si="1"/>
        <v>1.7677599539161912</v>
      </c>
      <c r="Y13" s="11">
        <f t="shared" si="2"/>
        <v>2.1427599539161912</v>
      </c>
      <c r="Z13" s="11">
        <f t="shared" si="3"/>
        <v>138.14160821105133</v>
      </c>
      <c r="AA13" s="11"/>
    </row>
    <row r="14" spans="2:27" ht="15.6">
      <c r="B14" s="22" t="s">
        <v>67</v>
      </c>
      <c r="C14" s="22"/>
      <c r="D14" s="11">
        <f>1300*10^-6</f>
        <v>1.2999999999999999E-3</v>
      </c>
      <c r="E14" s="9" t="s">
        <v>12</v>
      </c>
      <c r="F14" s="11"/>
      <c r="G14" s="22" t="s">
        <v>74</v>
      </c>
      <c r="H14" s="22"/>
      <c r="I14" s="11">
        <f>82*10^-9</f>
        <v>8.2000000000000006E-8</v>
      </c>
      <c r="J14" s="11" t="s">
        <v>75</v>
      </c>
      <c r="L14" s="23" t="s">
        <v>38</v>
      </c>
      <c r="M14" s="23"/>
      <c r="N14" s="2">
        <v>1</v>
      </c>
      <c r="O14" s="12" t="s">
        <v>39</v>
      </c>
      <c r="Q14" s="23" t="s">
        <v>48</v>
      </c>
      <c r="R14" s="23"/>
      <c r="S14" s="7">
        <f>Vcs.ocp/Rcs</f>
        <v>2.0812499999999998</v>
      </c>
      <c r="T14" s="12" t="s">
        <v>45</v>
      </c>
      <c r="V14" s="11">
        <f t="shared" si="4"/>
        <v>140</v>
      </c>
      <c r="W14" s="11">
        <f t="shared" si="0"/>
        <v>77.26925362995668</v>
      </c>
      <c r="X14" s="11">
        <f t="shared" si="1"/>
        <v>1.7040882510458673</v>
      </c>
      <c r="Y14" s="11">
        <f t="shared" si="2"/>
        <v>2.0790882510458673</v>
      </c>
      <c r="Z14" s="11">
        <f t="shared" si="3"/>
        <v>135.57071946829902</v>
      </c>
      <c r="AA14" s="11"/>
    </row>
    <row r="15" spans="2:27" ht="15.6">
      <c r="B15" s="22" t="s">
        <v>85</v>
      </c>
      <c r="C15" s="22"/>
      <c r="D15" s="11">
        <f>0.5*10^-6</f>
        <v>4.9999999999999998E-7</v>
      </c>
      <c r="E15" s="9" t="s">
        <v>75</v>
      </c>
      <c r="F15" s="11"/>
      <c r="G15" s="22" t="s">
        <v>76</v>
      </c>
      <c r="H15" s="22"/>
      <c r="I15" s="11">
        <f>Rzcd2*1000*Lbuck/Tpd/Rcs</f>
        <v>60914634.146341458</v>
      </c>
      <c r="J15" s="11" t="s">
        <v>77</v>
      </c>
      <c r="L15" s="23" t="s">
        <v>40</v>
      </c>
      <c r="M15" s="23"/>
      <c r="N15" s="2">
        <v>10</v>
      </c>
      <c r="O15" s="12" t="s">
        <v>39</v>
      </c>
      <c r="Q15" s="23" t="s">
        <v>49</v>
      </c>
      <c r="R15" s="23"/>
      <c r="S15" s="4">
        <f>(   ((Vin-Vo.max)/Lbuck)^2 * 1/3*(Dmax/fsw.Vo.max)^3 * fsw.Vo.max   )^0.5</f>
        <v>0.35381249999999997</v>
      </c>
      <c r="T15" s="12" t="s">
        <v>45</v>
      </c>
      <c r="V15" s="11">
        <f t="shared" si="4"/>
        <v>120</v>
      </c>
      <c r="W15" s="11">
        <f t="shared" si="0"/>
        <v>71.538068472151238</v>
      </c>
      <c r="X15" s="11">
        <f t="shared" si="1"/>
        <v>1.636969762477082</v>
      </c>
      <c r="Y15" s="11">
        <f t="shared" si="2"/>
        <v>2.011969762477082</v>
      </c>
      <c r="Z15" s="11">
        <f t="shared" si="3"/>
        <v>130.15468106382042</v>
      </c>
      <c r="AA15" s="11"/>
    </row>
    <row r="16" spans="2:27" ht="15.6">
      <c r="B16" s="22" t="s">
        <v>90</v>
      </c>
      <c r="C16" s="22"/>
      <c r="D16" s="11">
        <f>45*10^-6</f>
        <v>4.4999999999999996E-5</v>
      </c>
      <c r="E16" s="9" t="s">
        <v>12</v>
      </c>
      <c r="F16" s="11"/>
      <c r="G16" s="24" t="s">
        <v>102</v>
      </c>
      <c r="H16" s="24"/>
      <c r="I16" s="15">
        <f>Rzcd2*(Vin.bo*G.BST-(Vb.bo-Vbst.off))/(Vb.bo-Vbst.off)</f>
        <v>2998.4999999999995</v>
      </c>
      <c r="J16" s="18" t="s">
        <v>66</v>
      </c>
      <c r="L16" s="23" t="s">
        <v>65</v>
      </c>
      <c r="M16" s="23"/>
      <c r="N16" s="5">
        <f>IF(Failmode="Good",
     IF(Rzcd1.bo&lt;Rzcd1.min.Vin,
        Rzcd1.min.Vin,
        IF(Rzcd1.bo&gt;Rzcd1.max.Vin,
           Rzcd1.max.Vin,
           Rzcd1.bo
        )
     ),
     Failmode
)</f>
        <v>2998.4999999999995</v>
      </c>
      <c r="O16" s="12" t="s">
        <v>66</v>
      </c>
      <c r="Q16" s="23" t="s">
        <v>51</v>
      </c>
      <c r="R16" s="23"/>
      <c r="S16" s="5">
        <f>Vin.max</f>
        <v>420</v>
      </c>
      <c r="T16" s="12" t="s">
        <v>1</v>
      </c>
      <c r="V16" s="11">
        <f t="shared" si="4"/>
        <v>100</v>
      </c>
      <c r="W16" s="11">
        <f t="shared" si="0"/>
        <v>64.119004873044361</v>
      </c>
      <c r="X16" s="11">
        <f t="shared" si="1"/>
        <v>1.5657756051009244</v>
      </c>
      <c r="Y16" s="11">
        <f t="shared" si="2"/>
        <v>1.9407756051009244</v>
      </c>
      <c r="Z16" s="11">
        <f t="shared" si="3"/>
        <v>121.52080339815583</v>
      </c>
      <c r="AA16" s="11"/>
    </row>
    <row r="17" spans="2:27" ht="15.6">
      <c r="B17" s="30" t="s">
        <v>6</v>
      </c>
      <c r="C17" s="30"/>
      <c r="D17" s="30"/>
      <c r="E17" s="30"/>
      <c r="F17" s="11"/>
      <c r="G17" s="22" t="s">
        <v>103</v>
      </c>
      <c r="H17" s="22"/>
      <c r="I17" s="11">
        <f>Rzcd2*(Vin.max*G.BST-(2.5-Vbst.off))/(2.5-Vbst.off)</f>
        <v>2737.6304347826085</v>
      </c>
      <c r="J17" s="11" t="s">
        <v>66</v>
      </c>
      <c r="L17" s="23" t="s">
        <v>42</v>
      </c>
      <c r="M17" s="23"/>
      <c r="N17" s="7">
        <v>1.5</v>
      </c>
      <c r="O17" s="12" t="s">
        <v>41</v>
      </c>
      <c r="Q17" s="23" t="s">
        <v>52</v>
      </c>
      <c r="R17" s="23"/>
      <c r="S17" s="7">
        <f>Vcs.ocp/Rcs</f>
        <v>2.0812499999999998</v>
      </c>
      <c r="T17" s="12" t="s">
        <v>45</v>
      </c>
      <c r="V17" s="11"/>
      <c r="W17" s="11"/>
      <c r="X17" s="11"/>
      <c r="Y17" s="11"/>
      <c r="Z17" s="11"/>
      <c r="AA17" s="11"/>
    </row>
    <row r="18" spans="2:27" ht="15.6">
      <c r="B18" s="22" t="s">
        <v>7</v>
      </c>
      <c r="C18" s="22"/>
      <c r="D18" s="11">
        <f>N7/1000</f>
        <v>0.33300000000000002</v>
      </c>
      <c r="E18" s="11" t="s">
        <v>8</v>
      </c>
      <c r="F18" s="11"/>
      <c r="G18" s="22" t="s">
        <v>104</v>
      </c>
      <c r="H18" s="22"/>
      <c r="I18" s="11">
        <f>Rzcd2*(Vin.min*G.BST-(0.5-Vbst.off))/(0.5-Vbst.off)</f>
        <v>18998.5</v>
      </c>
      <c r="J18" s="11" t="s">
        <v>66</v>
      </c>
      <c r="L18" s="23" t="s">
        <v>101</v>
      </c>
      <c r="M18" s="23"/>
      <c r="N18" s="5">
        <f>Rzcd1*(Vo.min.min/2)/(Vin-(Vo.min.min/2))</f>
        <v>333.16666666666663</v>
      </c>
      <c r="O18" s="12" t="s">
        <v>66</v>
      </c>
      <c r="Q18" s="23" t="s">
        <v>53</v>
      </c>
      <c r="R18" s="23"/>
      <c r="S18" s="4">
        <f>Io.max*(Vin-Vo.min)/Vin</f>
        <v>0.24975000000000003</v>
      </c>
      <c r="T18" s="12" t="s">
        <v>45</v>
      </c>
      <c r="V18" s="17"/>
      <c r="W18" s="17"/>
      <c r="X18" s="17"/>
      <c r="Y18" s="17"/>
      <c r="Z18" s="17"/>
      <c r="AA18" s="17"/>
    </row>
    <row r="19" spans="2:27" ht="15.6">
      <c r="B19" s="22" t="s">
        <v>68</v>
      </c>
      <c r="C19" s="22"/>
      <c r="D19" s="11">
        <f>MAX( (Ics.lim.min^2*Lbuck/2 * (1/(Vin-Vo.max.min) + 1/Vo.max.min) / (Ics.lim.min*Lbuck/(Vin-Vo.max.min) + Toff.max) - Vo.max.min/Rout/1000), 0 )</f>
        <v>0</v>
      </c>
      <c r="E19" s="11" t="s">
        <v>8</v>
      </c>
      <c r="F19" s="11"/>
      <c r="G19" s="22" t="s">
        <v>115</v>
      </c>
      <c r="H19" s="22"/>
      <c r="I19" s="11">
        <f>Rzcd2*(2*Vo.min*G.BST-(0.15+0.05))/(0.15+0.05)</f>
        <v>14998.499999999998</v>
      </c>
      <c r="J19" s="11" t="s">
        <v>66</v>
      </c>
      <c r="L19" s="25" t="s">
        <v>78</v>
      </c>
      <c r="M19" s="23"/>
      <c r="N19" s="5">
        <f>Rff/10^6</f>
        <v>60.914634146341456</v>
      </c>
      <c r="O19" s="12" t="s">
        <v>79</v>
      </c>
      <c r="V19" s="17"/>
      <c r="W19" s="17"/>
      <c r="X19" s="17"/>
      <c r="Y19" s="17"/>
      <c r="Z19" s="17"/>
      <c r="AA19" s="17"/>
    </row>
    <row r="20" spans="2:27" ht="15.6">
      <c r="B20" s="22" t="s">
        <v>69</v>
      </c>
      <c r="C20" s="22"/>
      <c r="D20" s="11">
        <f>MAX( (Ics.lim.min^2*Lbuck/2 * (1/(Vin-Vo.min.min) + 1/Vo.min.min) / (Ics.lim.min*Lbuck/(Vin-Vo.min.min) + Toff.max) - Vo.min.min/Rout/1000), 0)</f>
        <v>7.5928154818193582E-4</v>
      </c>
      <c r="E20" s="11" t="s">
        <v>8</v>
      </c>
      <c r="F20" s="11"/>
      <c r="G20" s="22" t="s">
        <v>105</v>
      </c>
      <c r="H20" s="22"/>
      <c r="I20" s="11">
        <f>IF(Rzcd1.max.Vin&gt;Rzcd1.max.Vo, Rzcd1.max.Vo, Rzcd1.max.Vin)</f>
        <v>14998.499999999998</v>
      </c>
      <c r="J20" s="11" t="s">
        <v>106</v>
      </c>
      <c r="L20" s="25" t="s">
        <v>112</v>
      </c>
      <c r="M20" s="23"/>
      <c r="N20" s="5">
        <v>100</v>
      </c>
      <c r="O20" s="12" t="s">
        <v>113</v>
      </c>
    </row>
    <row r="21" spans="2:27">
      <c r="B21" s="22" t="s">
        <v>55</v>
      </c>
      <c r="C21" s="22"/>
      <c r="D21" s="11">
        <f>(Vb.cs.lim.min-Vbst.off)/G.BST/Rcs</f>
        <v>0.32259375000000001</v>
      </c>
      <c r="E21" s="11" t="s">
        <v>56</v>
      </c>
      <c r="F21" s="11"/>
      <c r="G21" s="22" t="s">
        <v>107</v>
      </c>
      <c r="H21" s="22"/>
      <c r="I21" s="11" t="str">
        <f>IF(Rzcd1.max&lt;Rzcd1.min.Vin,
     IF(Rzcd1.max.Vin&lt;Rzcd1.max.Vo, "Fail.by.Vin", "Fail.by.Vo"),
     "Good"
   )</f>
        <v>Good</v>
      </c>
      <c r="J21" s="11"/>
      <c r="Q21" s="21" t="s">
        <v>111</v>
      </c>
      <c r="R21" s="21"/>
      <c r="S21" s="21"/>
      <c r="T21" s="21"/>
    </row>
    <row r="22" spans="2:27">
      <c r="B22" s="22" t="s">
        <v>92</v>
      </c>
      <c r="C22" s="22"/>
      <c r="D22" s="18">
        <f>(Vin.max+Vin.min)/2</f>
        <v>400</v>
      </c>
      <c r="E22" s="11" t="s">
        <v>1</v>
      </c>
      <c r="F22" s="11"/>
      <c r="G22" s="11"/>
      <c r="H22" s="11"/>
      <c r="I22" s="11"/>
      <c r="J22" s="11"/>
      <c r="Q22" s="21"/>
      <c r="R22" s="21"/>
      <c r="S22" s="21"/>
      <c r="T22" s="21"/>
    </row>
    <row r="23" spans="2:27">
      <c r="B23" s="22" t="s">
        <v>23</v>
      </c>
      <c r="C23" s="22"/>
      <c r="D23" s="11">
        <f>Vo.max*(1-Rvled.drop/100)</f>
        <v>240</v>
      </c>
      <c r="E23" s="11" t="s">
        <v>1</v>
      </c>
      <c r="F23" s="11"/>
      <c r="G23" s="11"/>
      <c r="H23" s="11"/>
      <c r="I23" s="11"/>
      <c r="J23" s="11"/>
      <c r="Q23" s="21"/>
      <c r="R23" s="21"/>
      <c r="S23" s="21"/>
      <c r="T23" s="21"/>
    </row>
    <row r="24" spans="2:27">
      <c r="B24" s="22" t="s">
        <v>22</v>
      </c>
      <c r="C24" s="22"/>
      <c r="D24" s="11">
        <f>Vo.min*(1-Rvled.drop/100)</f>
        <v>80</v>
      </c>
      <c r="E24" s="11" t="s">
        <v>1</v>
      </c>
      <c r="F24" s="11"/>
      <c r="G24" s="11"/>
      <c r="H24" s="11"/>
      <c r="I24" s="16"/>
      <c r="J24" s="11"/>
      <c r="Q24" s="21"/>
      <c r="R24" s="21"/>
      <c r="S24" s="21"/>
      <c r="T24" s="21"/>
    </row>
    <row r="25" spans="2:27" ht="15.6">
      <c r="B25" s="24" t="s">
        <v>116</v>
      </c>
      <c r="C25" s="24"/>
      <c r="D25" s="18">
        <f>Vin*0.65</f>
        <v>260</v>
      </c>
      <c r="E25" s="18" t="s">
        <v>1</v>
      </c>
      <c r="F25" s="11"/>
      <c r="G25" s="11"/>
      <c r="H25" s="11"/>
      <c r="I25" s="11"/>
      <c r="J25" s="11"/>
      <c r="Q25" s="21"/>
      <c r="R25" s="21"/>
      <c r="S25" s="21"/>
      <c r="T25" s="21"/>
    </row>
    <row r="26" spans="2:27" ht="15.6">
      <c r="B26" s="24" t="s">
        <v>117</v>
      </c>
      <c r="C26" s="24"/>
      <c r="D26" s="18">
        <v>20</v>
      </c>
      <c r="E26" s="18" t="s">
        <v>21</v>
      </c>
      <c r="F26" s="11"/>
      <c r="G26" s="11"/>
      <c r="H26" s="11"/>
      <c r="I26" s="11"/>
      <c r="J26" s="11"/>
      <c r="Q26" s="21"/>
      <c r="R26" s="21"/>
      <c r="S26" s="21"/>
      <c r="T26" s="21"/>
    </row>
    <row r="27" spans="2:27">
      <c r="B27" s="14"/>
      <c r="C27" s="14"/>
      <c r="D27" s="14"/>
      <c r="E27" s="14"/>
      <c r="F27" s="14"/>
      <c r="G27" s="14"/>
      <c r="H27" s="14"/>
      <c r="I27" s="14"/>
      <c r="J27" s="14"/>
    </row>
    <row r="28" spans="2:27">
      <c r="B28" s="19" t="s">
        <v>109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Q28" s="19" t="s">
        <v>110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35" ht="18" customHeight="1"/>
    <row r="74" spans="7:7">
      <c r="G74" s="1"/>
    </row>
    <row r="75" spans="7:7">
      <c r="G75" s="1"/>
    </row>
    <row r="76" spans="7:7">
      <c r="G76" s="1"/>
    </row>
  </sheetData>
  <sheetProtection algorithmName="SHA-512" hashValue="WupOKMeoxQZLjwwwOV3F/7LD+IUhNgzzjISsu0S40tvWxhkdQ9kvVvMGaZ53SzkWVpN7394fV8HlVI3nS+Rc0w==" saltValue="rbqkYXd1cnASANc0f87HYQ==" spinCount="100000" sheet="1" objects="1" scenarios="1" selectLockedCells="1"/>
  <mergeCells count="84">
    <mergeCell ref="B22:C22"/>
    <mergeCell ref="B8:C8"/>
    <mergeCell ref="B13:C13"/>
    <mergeCell ref="B14:C14"/>
    <mergeCell ref="B6:C6"/>
    <mergeCell ref="B19:C19"/>
    <mergeCell ref="B5:C5"/>
    <mergeCell ref="G6:H6"/>
    <mergeCell ref="B18:C18"/>
    <mergeCell ref="L4:M4"/>
    <mergeCell ref="G16:H16"/>
    <mergeCell ref="G17:H17"/>
    <mergeCell ref="G15:H15"/>
    <mergeCell ref="B16:C16"/>
    <mergeCell ref="B17:E17"/>
    <mergeCell ref="B4:C4"/>
    <mergeCell ref="L16:M16"/>
    <mergeCell ref="B15:C15"/>
    <mergeCell ref="B11:C11"/>
    <mergeCell ref="G2:J2"/>
    <mergeCell ref="G3:H3"/>
    <mergeCell ref="L6:M6"/>
    <mergeCell ref="G8:H8"/>
    <mergeCell ref="G10:H10"/>
    <mergeCell ref="L7:M7"/>
    <mergeCell ref="G5:H5"/>
    <mergeCell ref="G7:H7"/>
    <mergeCell ref="Q2:T2"/>
    <mergeCell ref="L14:M14"/>
    <mergeCell ref="B12:C12"/>
    <mergeCell ref="B10:C10"/>
    <mergeCell ref="G4:H4"/>
    <mergeCell ref="G12:H12"/>
    <mergeCell ref="G11:H11"/>
    <mergeCell ref="L5:M5"/>
    <mergeCell ref="L12:O12"/>
    <mergeCell ref="B2:E2"/>
    <mergeCell ref="B9:C9"/>
    <mergeCell ref="B3:C3"/>
    <mergeCell ref="B7:C7"/>
    <mergeCell ref="L3:M3"/>
    <mergeCell ref="L2:O2"/>
    <mergeCell ref="L13:M13"/>
    <mergeCell ref="V2:AA2"/>
    <mergeCell ref="V3:Y3"/>
    <mergeCell ref="G9:H9"/>
    <mergeCell ref="G13:J13"/>
    <mergeCell ref="G14:H14"/>
    <mergeCell ref="Q3:R3"/>
    <mergeCell ref="Q5:R5"/>
    <mergeCell ref="L8:M8"/>
    <mergeCell ref="Q13:R13"/>
    <mergeCell ref="Q14:R14"/>
    <mergeCell ref="Q6:R6"/>
    <mergeCell ref="Q7:R7"/>
    <mergeCell ref="Q4:R4"/>
    <mergeCell ref="V4:Y4"/>
    <mergeCell ref="Q12:T12"/>
    <mergeCell ref="Q9:R9"/>
    <mergeCell ref="Q16:R16"/>
    <mergeCell ref="L17:M17"/>
    <mergeCell ref="Q18:R18"/>
    <mergeCell ref="Q17:R17"/>
    <mergeCell ref="Q8:R8"/>
    <mergeCell ref="L10:M10"/>
    <mergeCell ref="L15:M15"/>
    <mergeCell ref="Q15:R15"/>
    <mergeCell ref="L9:M9"/>
    <mergeCell ref="B28:O28"/>
    <mergeCell ref="Q28:AA28"/>
    <mergeCell ref="Q21:T26"/>
    <mergeCell ref="G18:H18"/>
    <mergeCell ref="G19:H19"/>
    <mergeCell ref="G20:H20"/>
    <mergeCell ref="L18:M18"/>
    <mergeCell ref="G21:H21"/>
    <mergeCell ref="B26:C26"/>
    <mergeCell ref="B20:C20"/>
    <mergeCell ref="B21:C21"/>
    <mergeCell ref="B25:C25"/>
    <mergeCell ref="B23:C23"/>
    <mergeCell ref="B24:C24"/>
    <mergeCell ref="L20:M20"/>
    <mergeCell ref="L19:M19"/>
  </mergeCells>
  <phoneticPr fontId="1" type="noConversion"/>
  <pageMargins left="0.7" right="0.7" top="0.75" bottom="0.75" header="0.3" footer="0.3"/>
  <pageSetup paperSize="9" orientation="portrait" r:id="rId1"/>
  <ignoredErrors>
    <ignoredError sqref="D22" unlockedFormula="1"/>
  </ignoredErrors>
  <drawing r:id="rId2"/>
  <legacyDrawing r:id="rId3"/>
  <oleObjects>
    <mc:AlternateContent xmlns:mc="http://schemas.openxmlformats.org/markup-compatibility/2006">
      <mc:Choice Requires="x14">
        <oleObject progId="Visio.Drawing.11" shapeId="1084" r:id="rId4">
          <objectPr defaultSize="0" autoPict="0" r:id="rId5">
            <anchor moveWithCells="1">
              <from>
                <xdr:col>16</xdr:col>
                <xdr:colOff>38100</xdr:colOff>
                <xdr:row>28</xdr:row>
                <xdr:rowOff>38100</xdr:rowOff>
              </from>
              <to>
                <xdr:col>26</xdr:col>
                <xdr:colOff>571500</xdr:colOff>
                <xdr:row>42</xdr:row>
                <xdr:rowOff>175260</xdr:rowOff>
              </to>
            </anchor>
          </objectPr>
        </oleObject>
      </mc:Choice>
      <mc:Fallback>
        <oleObject progId="Visio.Drawing.11" shapeId="1084" r:id="rId4"/>
      </mc:Fallback>
    </mc:AlternateContent>
    <mc:AlternateContent xmlns:mc="http://schemas.openxmlformats.org/markup-compatibility/2006">
      <mc:Choice Requires="x14">
        <oleObject progId="Visio.Drawing.11" shapeId="1086" r:id="rId6">
          <objectPr defaultSize="0" autoPict="0" r:id="rId7">
            <anchor moveWithCells="1">
              <from>
                <xdr:col>1</xdr:col>
                <xdr:colOff>7620</xdr:colOff>
                <xdr:row>28</xdr:row>
                <xdr:rowOff>45720</xdr:rowOff>
              </from>
              <to>
                <xdr:col>15</xdr:col>
                <xdr:colOff>0</xdr:colOff>
                <xdr:row>43</xdr:row>
                <xdr:rowOff>30480</xdr:rowOff>
              </to>
            </anchor>
          </objectPr>
        </oleObject>
      </mc:Choice>
      <mc:Fallback>
        <oleObject progId="Visio.Drawing.11" shapeId="1086" r:id="rId6"/>
      </mc:Fallback>
    </mc:AlternateContent>
    <mc:AlternateContent xmlns:mc="http://schemas.openxmlformats.org/markup-compatibility/2006">
      <mc:Choice Requires="x14">
        <oleObject progId="Visio.Drawing.11" shapeId="1087" r:id="rId8">
          <objectPr defaultSize="0" autoPict="0" r:id="rId9">
            <anchor moveWithCells="1">
              <from>
                <xdr:col>1</xdr:col>
                <xdr:colOff>220980</xdr:colOff>
                <xdr:row>1</xdr:row>
                <xdr:rowOff>7620</xdr:rowOff>
              </from>
              <to>
                <xdr:col>9</xdr:col>
                <xdr:colOff>579120</xdr:colOff>
                <xdr:row>25</xdr:row>
                <xdr:rowOff>0</xdr:rowOff>
              </to>
            </anchor>
          </objectPr>
        </oleObject>
      </mc:Choice>
      <mc:Fallback>
        <oleObject progId="Visio.Drawing.11" shapeId="1087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NCL30076 Design Tool</vt:lpstr>
      <vt:lpstr>Ae</vt:lpstr>
      <vt:lpstr>Bmax</vt:lpstr>
      <vt:lpstr>Dmax</vt:lpstr>
      <vt:lpstr>Failmode</vt:lpstr>
      <vt:lpstr>fsw.Vo.max</vt:lpstr>
      <vt:lpstr>G.BST</vt:lpstr>
      <vt:lpstr>Ics.lim.min</vt:lpstr>
      <vt:lpstr>ILbuck.pk</vt:lpstr>
      <vt:lpstr>Io.max</vt:lpstr>
      <vt:lpstr>Io.min.Vo.max</vt:lpstr>
      <vt:lpstr>Io.min.Vo.min</vt:lpstr>
      <vt:lpstr>Lbuck</vt:lpstr>
      <vt:lpstr>Lbuck.max.limit</vt:lpstr>
      <vt:lpstr>Lbuck.min.limit</vt:lpstr>
      <vt:lpstr>N.Toff</vt:lpstr>
      <vt:lpstr>Rcs</vt:lpstr>
      <vt:lpstr>Rff</vt:lpstr>
      <vt:lpstr>Rout</vt:lpstr>
      <vt:lpstr>Rvled.drop</vt:lpstr>
      <vt:lpstr>Rzcd1</vt:lpstr>
      <vt:lpstr>Rzcd1.bo</vt:lpstr>
      <vt:lpstr>Rzcd1.max</vt:lpstr>
      <vt:lpstr>Rzcd1.max.Vin</vt:lpstr>
      <vt:lpstr>Rzcd1.max.Vo</vt:lpstr>
      <vt:lpstr>Rzcd1.min.Vin</vt:lpstr>
      <vt:lpstr>Rzcd2</vt:lpstr>
      <vt:lpstr>T.toff</vt:lpstr>
      <vt:lpstr>T_qr</vt:lpstr>
      <vt:lpstr>Toff.max</vt:lpstr>
      <vt:lpstr>Toff.min.lim</vt:lpstr>
      <vt:lpstr>Ton.max</vt:lpstr>
      <vt:lpstr>Ton.min.lim</vt:lpstr>
      <vt:lpstr>Tpd</vt:lpstr>
      <vt:lpstr>Vb.bo</vt:lpstr>
      <vt:lpstr>Vb.cs.lim.max</vt:lpstr>
      <vt:lpstr>Vb.cs.lim.max.pk</vt:lpstr>
      <vt:lpstr>Vb.cs.lim.min</vt:lpstr>
      <vt:lpstr>Vb.cs.rip</vt:lpstr>
      <vt:lpstr>Vbst.off</vt:lpstr>
      <vt:lpstr>Vbst.res</vt:lpstr>
      <vt:lpstr>Vcs.ocp</vt:lpstr>
      <vt:lpstr>Vin</vt:lpstr>
      <vt:lpstr>Vin.bo</vt:lpstr>
      <vt:lpstr>Vin.freq</vt:lpstr>
      <vt:lpstr>Vin.max</vt:lpstr>
      <vt:lpstr>Vin.min</vt:lpstr>
      <vt:lpstr>Vo.max</vt:lpstr>
      <vt:lpstr>Vo.max.min</vt:lpstr>
      <vt:lpstr>Vo.min</vt:lpstr>
      <vt:lpstr>Vo.min.min</vt:lpstr>
      <vt:lpstr>Vref.max</vt:lpstr>
    </vt:vector>
  </TitlesOfParts>
  <Company>FSBK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Eum</dc:creator>
  <cp:lastModifiedBy>Charles Eum</cp:lastModifiedBy>
  <dcterms:created xsi:type="dcterms:W3CDTF">2019-06-17T06:32:23Z</dcterms:created>
  <dcterms:modified xsi:type="dcterms:W3CDTF">2025-02-11T23:28:53Z</dcterms:modified>
</cp:coreProperties>
</file>